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eleid Sociaal Domein\Accomodatiebeleid\Privatiseringsgesprekken\1. FINANCIERINGSMODELLEN\Definitieve versies (incl nulmeting)\Nog niet akkoord\"/>
    </mc:Choice>
  </mc:AlternateContent>
  <xr:revisionPtr revIDLastSave="0" documentId="13_ncr:1_{38B31BEB-A01C-429C-983C-D3778638EDAA}" xr6:coauthVersionLast="47" xr6:coauthVersionMax="47" xr10:uidLastSave="{00000000-0000-0000-0000-000000000000}"/>
  <bookViews>
    <workbookView xWindow="-120" yWindow="-120" windowWidth="30960" windowHeight="16920" tabRatio="756" xr2:uid="{E7C69A20-59D9-42BF-9EF7-9E0CE34583D1}"/>
  </bookViews>
  <sheets>
    <sheet name="WVV Constantia" sheetId="3" r:id="rId1"/>
    <sheet name="Kapitaalslast buitenruimte" sheetId="1" r:id="rId2"/>
    <sheet name="Kapitaalslast gebouw" sheetId="4" r:id="rId3"/>
    <sheet name="Kapitaalslast per kleedkamer" sheetId="8" r:id="rId4"/>
    <sheet name="Onderhoudslast buitenruimte" sheetId="5" r:id="rId5"/>
    <sheet name="Onderhoudslast gebouw" sheetId="6" r:id="rId6"/>
    <sheet name="Directe kosten" sheetId="7" r:id="rId7"/>
  </sheets>
  <externalReferences>
    <externalReference r:id="rId8"/>
  </externalReferences>
  <definedNames>
    <definedName name="_xlnm.Print_Area" localSheetId="1">'Kapitaalslast buitenruimte'!$A$1:$O$68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B30" i="5"/>
  <c r="C99" i="5" s="1"/>
  <c r="C60" i="3"/>
  <c r="C62" i="3" s="1"/>
  <c r="D80" i="1" l="1"/>
  <c r="M62" i="1" l="1"/>
  <c r="M64" i="1"/>
  <c r="B109" i="5" s="1"/>
  <c r="BC65" i="1"/>
  <c r="BB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N65" i="1"/>
  <c r="BA65" i="1" s="1"/>
  <c r="BC63" i="1"/>
  <c r="BB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N63" i="1"/>
  <c r="BA63" i="1" s="1"/>
  <c r="C98" i="5"/>
  <c r="B93" i="5"/>
  <c r="AG65" i="1" l="1"/>
  <c r="AG63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K50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K36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K2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K14" i="1"/>
  <c r="AF11" i="3"/>
  <c r="K13" i="4"/>
  <c r="L13" i="4"/>
  <c r="K14" i="4"/>
  <c r="L14" i="4"/>
  <c r="K15" i="4"/>
  <c r="L15" i="4"/>
  <c r="K16" i="4"/>
  <c r="L16" i="4"/>
  <c r="K17" i="4"/>
  <c r="L17" i="4"/>
  <c r="K18" i="4"/>
  <c r="L18" i="4"/>
  <c r="K19" i="4"/>
  <c r="L19" i="4"/>
  <c r="K20" i="4"/>
  <c r="L20" i="4"/>
  <c r="L12" i="4"/>
  <c r="K12" i="4"/>
  <c r="B4" i="8"/>
  <c r="C4" i="8"/>
  <c r="F4" i="8"/>
  <c r="I4" i="8"/>
  <c r="L4" i="8"/>
  <c r="O4" i="8"/>
  <c r="O13" i="8" s="1"/>
  <c r="R4" i="8"/>
  <c r="B5" i="8"/>
  <c r="B13" i="8" s="1"/>
  <c r="C5" i="8"/>
  <c r="F5" i="8"/>
  <c r="F13" i="8" s="1"/>
  <c r="I5" i="8"/>
  <c r="I13" i="8" s="1"/>
  <c r="L5" i="8"/>
  <c r="L13" i="8" s="1"/>
  <c r="O5" i="8"/>
  <c r="R5" i="8"/>
  <c r="B6" i="8"/>
  <c r="C6" i="8" s="1"/>
  <c r="F6" i="8"/>
  <c r="I6" i="8"/>
  <c r="L6" i="8"/>
  <c r="O6" i="8"/>
  <c r="R6" i="8"/>
  <c r="R13" i="8" s="1"/>
  <c r="B7" i="8"/>
  <c r="C7" i="8"/>
  <c r="F7" i="8"/>
  <c r="I7" i="8"/>
  <c r="L7" i="8"/>
  <c r="O7" i="8"/>
  <c r="R7" i="8"/>
  <c r="B8" i="8"/>
  <c r="C8" i="8"/>
  <c r="F8" i="8"/>
  <c r="I8" i="8"/>
  <c r="L8" i="8"/>
  <c r="O8" i="8"/>
  <c r="R8" i="8"/>
  <c r="B9" i="8"/>
  <c r="C9" i="8" s="1"/>
  <c r="F9" i="8"/>
  <c r="I9" i="8"/>
  <c r="L9" i="8"/>
  <c r="O9" i="8"/>
  <c r="R9" i="8"/>
  <c r="B10" i="8"/>
  <c r="C10" i="8"/>
  <c r="F10" i="8"/>
  <c r="I10" i="8"/>
  <c r="L10" i="8"/>
  <c r="O10" i="8"/>
  <c r="R10" i="8"/>
  <c r="B11" i="8"/>
  <c r="C11" i="8"/>
  <c r="F11" i="8"/>
  <c r="I11" i="8"/>
  <c r="L11" i="8"/>
  <c r="O11" i="8"/>
  <c r="R11" i="8"/>
  <c r="B12" i="8"/>
  <c r="C12" i="8"/>
  <c r="F12" i="8"/>
  <c r="I12" i="8"/>
  <c r="L12" i="8"/>
  <c r="O12" i="8"/>
  <c r="R12" i="8"/>
  <c r="E13" i="8"/>
  <c r="H13" i="8"/>
  <c r="K13" i="8"/>
  <c r="N13" i="8"/>
  <c r="Q13" i="8"/>
  <c r="C19" i="8"/>
  <c r="F19" i="8"/>
  <c r="I19" i="8"/>
  <c r="L19" i="8"/>
  <c r="C20" i="8"/>
  <c r="C28" i="8" s="1"/>
  <c r="F20" i="8"/>
  <c r="F28" i="8" s="1"/>
  <c r="I20" i="8"/>
  <c r="I28" i="8" s="1"/>
  <c r="L20" i="8"/>
  <c r="L28" i="8" s="1"/>
  <c r="C21" i="8"/>
  <c r="F21" i="8"/>
  <c r="I21" i="8"/>
  <c r="L21" i="8"/>
  <c r="C22" i="8"/>
  <c r="F22" i="8"/>
  <c r="I22" i="8"/>
  <c r="L22" i="8"/>
  <c r="C23" i="8"/>
  <c r="F23" i="8"/>
  <c r="I23" i="8"/>
  <c r="L23" i="8"/>
  <c r="C24" i="8"/>
  <c r="F24" i="8"/>
  <c r="I24" i="8"/>
  <c r="L24" i="8"/>
  <c r="C25" i="8"/>
  <c r="F25" i="8"/>
  <c r="I25" i="8"/>
  <c r="L25" i="8"/>
  <c r="C26" i="8"/>
  <c r="F26" i="8"/>
  <c r="I26" i="8"/>
  <c r="L26" i="8"/>
  <c r="C27" i="8"/>
  <c r="F27" i="8"/>
  <c r="I27" i="8"/>
  <c r="L27" i="8"/>
  <c r="B28" i="8"/>
  <c r="E28" i="8"/>
  <c r="H28" i="8"/>
  <c r="K28" i="8"/>
  <c r="C34" i="8"/>
  <c r="C43" i="8" s="1"/>
  <c r="C35" i="8"/>
  <c r="C36" i="8"/>
  <c r="C37" i="8"/>
  <c r="C38" i="8"/>
  <c r="C39" i="8"/>
  <c r="C40" i="8"/>
  <c r="C41" i="8"/>
  <c r="C42" i="8"/>
  <c r="B43" i="8"/>
  <c r="C48" i="8"/>
  <c r="C57" i="8" s="1"/>
  <c r="C49" i="8"/>
  <c r="C50" i="8"/>
  <c r="C51" i="8"/>
  <c r="C52" i="8"/>
  <c r="C53" i="8"/>
  <c r="C54" i="8"/>
  <c r="C55" i="8"/>
  <c r="C56" i="8"/>
  <c r="B57" i="8"/>
  <c r="C13" i="8" l="1"/>
  <c r="N64" i="1"/>
  <c r="AG64" i="1" s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B62" i="1"/>
  <c r="BC62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B66" i="1"/>
  <c r="BC66" i="1"/>
  <c r="P61" i="1"/>
  <c r="P62" i="1"/>
  <c r="P64" i="1"/>
  <c r="P66" i="1"/>
  <c r="P47" i="1"/>
  <c r="P48" i="1"/>
  <c r="P49" i="1"/>
  <c r="P54" i="1"/>
  <c r="P55" i="1"/>
  <c r="P46" i="1"/>
  <c r="P34" i="1"/>
  <c r="P35" i="1"/>
  <c r="P37" i="1"/>
  <c r="P38" i="1"/>
  <c r="P39" i="1"/>
  <c r="P40" i="1"/>
  <c r="P41" i="1"/>
  <c r="P22" i="1"/>
  <c r="P23" i="1"/>
  <c r="P12" i="1"/>
  <c r="P13" i="1"/>
  <c r="P15" i="1"/>
  <c r="I20" i="4"/>
  <c r="AX20" i="4" s="1"/>
  <c r="I14" i="4"/>
  <c r="AF14" i="4" s="1"/>
  <c r="C16" i="6"/>
  <c r="C19" i="6" s="1"/>
  <c r="B12" i="6"/>
  <c r="I19" i="4"/>
  <c r="J19" i="4" s="1"/>
  <c r="AU19" i="4" s="1"/>
  <c r="AZ18" i="4"/>
  <c r="I18" i="4"/>
  <c r="J18" i="4" s="1"/>
  <c r="AW17" i="4"/>
  <c r="AO17" i="4"/>
  <c r="AG17" i="4"/>
  <c r="Y17" i="4"/>
  <c r="Q17" i="4"/>
  <c r="AV17" i="4"/>
  <c r="I17" i="4"/>
  <c r="I16" i="4"/>
  <c r="J16" i="4" s="1"/>
  <c r="I15" i="4"/>
  <c r="AD13" i="4"/>
  <c r="AC13" i="4"/>
  <c r="V13" i="4"/>
  <c r="I13" i="4"/>
  <c r="AL13" i="4" s="1"/>
  <c r="I12" i="4"/>
  <c r="C7" i="4"/>
  <c r="B108" i="5"/>
  <c r="D108" i="5" s="1"/>
  <c r="B107" i="5"/>
  <c r="D107" i="5" s="1"/>
  <c r="D109" i="5"/>
  <c r="C101" i="5"/>
  <c r="B61" i="5"/>
  <c r="C43" i="3"/>
  <c r="C6" i="7"/>
  <c r="C8" i="7" l="1"/>
  <c r="C9" i="7" s="1"/>
  <c r="C100" i="5"/>
  <c r="J12" i="3"/>
  <c r="AF12" i="3"/>
  <c r="BA16" i="4"/>
  <c r="AE16" i="4"/>
  <c r="AD16" i="4"/>
  <c r="AT16" i="4"/>
  <c r="X16" i="4"/>
  <c r="W16" i="4"/>
  <c r="BB16" i="4"/>
  <c r="P16" i="4"/>
  <c r="AV16" i="4"/>
  <c r="O16" i="4"/>
  <c r="AU16" i="4"/>
  <c r="N16" i="4"/>
  <c r="V16" i="4"/>
  <c r="AN16" i="4"/>
  <c r="AM16" i="4"/>
  <c r="AL16" i="4"/>
  <c r="AF16" i="4"/>
  <c r="U12" i="3"/>
  <c r="I12" i="3"/>
  <c r="H12" i="3"/>
  <c r="AE12" i="3"/>
  <c r="S12" i="3"/>
  <c r="G12" i="3"/>
  <c r="R12" i="3"/>
  <c r="AC12" i="3"/>
  <c r="Q12" i="3"/>
  <c r="E12" i="3"/>
  <c r="AB12" i="3"/>
  <c r="P12" i="3"/>
  <c r="D12" i="3"/>
  <c r="AA12" i="3"/>
  <c r="O12" i="3"/>
  <c r="C12" i="3"/>
  <c r="Z12" i="3"/>
  <c r="N12" i="3"/>
  <c r="Y12" i="3"/>
  <c r="M12" i="3"/>
  <c r="F12" i="3"/>
  <c r="X12" i="3"/>
  <c r="L12" i="3"/>
  <c r="T12" i="3"/>
  <c r="W12" i="3"/>
  <c r="K12" i="3"/>
  <c r="AD12" i="3"/>
  <c r="V12" i="3"/>
  <c r="AB15" i="4"/>
  <c r="T15" i="4"/>
  <c r="AZ15" i="4"/>
  <c r="AI15" i="4"/>
  <c r="AA15" i="4"/>
  <c r="S15" i="4"/>
  <c r="AY15" i="4"/>
  <c r="AR15" i="4"/>
  <c r="AQ15" i="4"/>
  <c r="BB13" i="4"/>
  <c r="AB12" i="4"/>
  <c r="R12" i="4"/>
  <c r="AX12" i="4"/>
  <c r="AA12" i="4"/>
  <c r="S12" i="4"/>
  <c r="Z12" i="4"/>
  <c r="AH12" i="4"/>
  <c r="AQ12" i="4"/>
  <c r="AY12" i="4"/>
  <c r="AY18" i="4"/>
  <c r="AQ18" i="4"/>
  <c r="AI18" i="4"/>
  <c r="AA18" i="4"/>
  <c r="S18" i="4"/>
  <c r="AX18" i="4"/>
  <c r="AP18" i="4"/>
  <c r="AH18" i="4"/>
  <c r="Z18" i="4"/>
  <c r="R18" i="4"/>
  <c r="AD18" i="4"/>
  <c r="AW18" i="4"/>
  <c r="AO18" i="4"/>
  <c r="AG18" i="4"/>
  <c r="Y18" i="4"/>
  <c r="Q18" i="4"/>
  <c r="AV18" i="4"/>
  <c r="AN18" i="4"/>
  <c r="AF18" i="4"/>
  <c r="X18" i="4"/>
  <c r="P18" i="4"/>
  <c r="AT18" i="4"/>
  <c r="V18" i="4"/>
  <c r="AU18" i="4"/>
  <c r="AM18" i="4"/>
  <c r="AE18" i="4"/>
  <c r="W18" i="4"/>
  <c r="O18" i="4"/>
  <c r="BB18" i="4"/>
  <c r="AL18" i="4"/>
  <c r="N18" i="4"/>
  <c r="BA18" i="4"/>
  <c r="AS18" i="4"/>
  <c r="AK18" i="4"/>
  <c r="AC18" i="4"/>
  <c r="U18" i="4"/>
  <c r="BB19" i="4"/>
  <c r="AT19" i="4"/>
  <c r="AL19" i="4"/>
  <c r="AD19" i="4"/>
  <c r="V19" i="4"/>
  <c r="N19" i="4"/>
  <c r="BA19" i="4"/>
  <c r="AS19" i="4"/>
  <c r="AK19" i="4"/>
  <c r="AC19" i="4"/>
  <c r="U19" i="4"/>
  <c r="Q19" i="4"/>
  <c r="AZ19" i="4"/>
  <c r="AR19" i="4"/>
  <c r="AJ19" i="4"/>
  <c r="AB19" i="4"/>
  <c r="T19" i="4"/>
  <c r="AY19" i="4"/>
  <c r="AQ19" i="4"/>
  <c r="AI19" i="4"/>
  <c r="AA19" i="4"/>
  <c r="S19" i="4"/>
  <c r="AO19" i="4"/>
  <c r="Y19" i="4"/>
  <c r="AX19" i="4"/>
  <c r="AP19" i="4"/>
  <c r="AH19" i="4"/>
  <c r="Z19" i="4"/>
  <c r="R19" i="4"/>
  <c r="AW19" i="4"/>
  <c r="AG19" i="4"/>
  <c r="AV19" i="4"/>
  <c r="AN19" i="4"/>
  <c r="AF19" i="4"/>
  <c r="X19" i="4"/>
  <c r="P19" i="4"/>
  <c r="AW20" i="4"/>
  <c r="AO20" i="4"/>
  <c r="AG20" i="4"/>
  <c r="Y20" i="4"/>
  <c r="Q20" i="4"/>
  <c r="AV20" i="4"/>
  <c r="AN20" i="4"/>
  <c r="AF20" i="4"/>
  <c r="X20" i="4"/>
  <c r="P20" i="4"/>
  <c r="AR20" i="4"/>
  <c r="AU20" i="4"/>
  <c r="AM20" i="4"/>
  <c r="AE20" i="4"/>
  <c r="W20" i="4"/>
  <c r="O20" i="4"/>
  <c r="AB20" i="4"/>
  <c r="BB20" i="4"/>
  <c r="AT20" i="4"/>
  <c r="AL20" i="4"/>
  <c r="AD20" i="4"/>
  <c r="V20" i="4"/>
  <c r="N20" i="4"/>
  <c r="AJ20" i="4"/>
  <c r="T20" i="4"/>
  <c r="BA20" i="4"/>
  <c r="AS20" i="4"/>
  <c r="AK20" i="4"/>
  <c r="AC20" i="4"/>
  <c r="U20" i="4"/>
  <c r="AZ20" i="4"/>
  <c r="AY20" i="4"/>
  <c r="AQ20" i="4"/>
  <c r="AI20" i="4"/>
  <c r="AA20" i="4"/>
  <c r="S20" i="4"/>
  <c r="AU14" i="4"/>
  <c r="AM14" i="4"/>
  <c r="AE14" i="4"/>
  <c r="W14" i="4"/>
  <c r="O14" i="4"/>
  <c r="BB14" i="4"/>
  <c r="AT14" i="4"/>
  <c r="AL14" i="4"/>
  <c r="AD14" i="4"/>
  <c r="V14" i="4"/>
  <c r="N14" i="4"/>
  <c r="AP14" i="4"/>
  <c r="BA14" i="4"/>
  <c r="AS14" i="4"/>
  <c r="AK14" i="4"/>
  <c r="AC14" i="4"/>
  <c r="U14" i="4"/>
  <c r="AZ14" i="4"/>
  <c r="AR14" i="4"/>
  <c r="AJ14" i="4"/>
  <c r="AB14" i="4"/>
  <c r="T14" i="4"/>
  <c r="AX14" i="4"/>
  <c r="AH14" i="4"/>
  <c r="R14" i="4"/>
  <c r="AY14" i="4"/>
  <c r="AQ14" i="4"/>
  <c r="AI14" i="4"/>
  <c r="AA14" i="4"/>
  <c r="S14" i="4"/>
  <c r="Z14" i="4"/>
  <c r="AN14" i="4"/>
  <c r="P14" i="4"/>
  <c r="AV14" i="4"/>
  <c r="T18" i="4"/>
  <c r="O19" i="4"/>
  <c r="R20" i="4"/>
  <c r="AB18" i="4"/>
  <c r="W19" i="4"/>
  <c r="Z20" i="4"/>
  <c r="AG14" i="4"/>
  <c r="AZ13" i="4"/>
  <c r="AR13" i="4"/>
  <c r="AJ13" i="4"/>
  <c r="AB13" i="4"/>
  <c r="T13" i="4"/>
  <c r="AU13" i="4"/>
  <c r="AY13" i="4"/>
  <c r="AQ13" i="4"/>
  <c r="AI13" i="4"/>
  <c r="AA13" i="4"/>
  <c r="S13" i="4"/>
  <c r="AX13" i="4"/>
  <c r="AP13" i="4"/>
  <c r="AH13" i="4"/>
  <c r="Z13" i="4"/>
  <c r="W13" i="4"/>
  <c r="R13" i="4"/>
  <c r="AW13" i="4"/>
  <c r="AO13" i="4"/>
  <c r="AG13" i="4"/>
  <c r="Y13" i="4"/>
  <c r="Q13" i="4"/>
  <c r="AM13" i="4"/>
  <c r="O13" i="4"/>
  <c r="AV13" i="4"/>
  <c r="AN13" i="4"/>
  <c r="AF13" i="4"/>
  <c r="X13" i="4"/>
  <c r="P13" i="4"/>
  <c r="AE13" i="4"/>
  <c r="AK13" i="4"/>
  <c r="AO14" i="4"/>
  <c r="AW12" i="4"/>
  <c r="AO12" i="4"/>
  <c r="AG12" i="4"/>
  <c r="Y12" i="4"/>
  <c r="Q12" i="4"/>
  <c r="AV12" i="4"/>
  <c r="AN12" i="4"/>
  <c r="AF12" i="4"/>
  <c r="X12" i="4"/>
  <c r="P12" i="4"/>
  <c r="AU12" i="4"/>
  <c r="AE12" i="4"/>
  <c r="W12" i="4"/>
  <c r="AR12" i="4"/>
  <c r="T12" i="4"/>
  <c r="AM12" i="4"/>
  <c r="O12" i="4"/>
  <c r="BB12" i="4"/>
  <c r="AT12" i="4"/>
  <c r="AL12" i="4"/>
  <c r="AD12" i="4"/>
  <c r="V12" i="4"/>
  <c r="N12" i="4"/>
  <c r="BA12" i="4"/>
  <c r="AS12" i="4"/>
  <c r="AK12" i="4"/>
  <c r="AC12" i="4"/>
  <c r="U12" i="4"/>
  <c r="AZ12" i="4"/>
  <c r="AJ12" i="4"/>
  <c r="AS13" i="4"/>
  <c r="Q14" i="4"/>
  <c r="AW14" i="4"/>
  <c r="AI12" i="4"/>
  <c r="N13" i="4"/>
  <c r="AT13" i="4"/>
  <c r="X14" i="4"/>
  <c r="AJ18" i="4"/>
  <c r="AE19" i="4"/>
  <c r="AH20" i="4"/>
  <c r="AP12" i="4"/>
  <c r="U13" i="4"/>
  <c r="BA13" i="4"/>
  <c r="Y14" i="4"/>
  <c r="AX15" i="4"/>
  <c r="AP15" i="4"/>
  <c r="AH15" i="4"/>
  <c r="Z15" i="4"/>
  <c r="R15" i="4"/>
  <c r="AW15" i="4"/>
  <c r="AO15" i="4"/>
  <c r="AG15" i="4"/>
  <c r="Y15" i="4"/>
  <c r="Q15" i="4"/>
  <c r="BA15" i="4"/>
  <c r="AK15" i="4"/>
  <c r="U15" i="4"/>
  <c r="AV15" i="4"/>
  <c r="AN15" i="4"/>
  <c r="AF15" i="4"/>
  <c r="X15" i="4"/>
  <c r="P15" i="4"/>
  <c r="AU15" i="4"/>
  <c r="AM15" i="4"/>
  <c r="AE15" i="4"/>
  <c r="W15" i="4"/>
  <c r="O15" i="4"/>
  <c r="AS15" i="4"/>
  <c r="AC15" i="4"/>
  <c r="BB15" i="4"/>
  <c r="AT15" i="4"/>
  <c r="AL15" i="4"/>
  <c r="AD15" i="4"/>
  <c r="V15" i="4"/>
  <c r="N15" i="4"/>
  <c r="AJ15" i="4"/>
  <c r="AR18" i="4"/>
  <c r="AM19" i="4"/>
  <c r="AP20" i="4"/>
  <c r="R17" i="4"/>
  <c r="Z17" i="4"/>
  <c r="AH17" i="4"/>
  <c r="AP17" i="4"/>
  <c r="AX17" i="4"/>
  <c r="AA17" i="4"/>
  <c r="Q16" i="4"/>
  <c r="Y16" i="4"/>
  <c r="AG16" i="4"/>
  <c r="AO16" i="4"/>
  <c r="AW16" i="4"/>
  <c r="T17" i="4"/>
  <c r="AB17" i="4"/>
  <c r="AJ17" i="4"/>
  <c r="AR17" i="4"/>
  <c r="AZ17" i="4"/>
  <c r="AQ17" i="4"/>
  <c r="R16" i="4"/>
  <c r="Z16" i="4"/>
  <c r="AH16" i="4"/>
  <c r="AP16" i="4"/>
  <c r="AX16" i="4"/>
  <c r="U17" i="4"/>
  <c r="AC17" i="4"/>
  <c r="AK17" i="4"/>
  <c r="AS17" i="4"/>
  <c r="BA17" i="4"/>
  <c r="S16" i="4"/>
  <c r="AA16" i="4"/>
  <c r="AI16" i="4"/>
  <c r="AQ16" i="4"/>
  <c r="AY16" i="4"/>
  <c r="N17" i="4"/>
  <c r="V17" i="4"/>
  <c r="AD17" i="4"/>
  <c r="AL17" i="4"/>
  <c r="AT17" i="4"/>
  <c r="BB17" i="4"/>
  <c r="S17" i="4"/>
  <c r="AI17" i="4"/>
  <c r="AY17" i="4"/>
  <c r="T16" i="4"/>
  <c r="AB16" i="4"/>
  <c r="AJ16" i="4"/>
  <c r="AR16" i="4"/>
  <c r="AZ16" i="4"/>
  <c r="O17" i="4"/>
  <c r="W17" i="4"/>
  <c r="AE17" i="4"/>
  <c r="AM17" i="4"/>
  <c r="AU17" i="4"/>
  <c r="U16" i="4"/>
  <c r="AC16" i="4"/>
  <c r="AK16" i="4"/>
  <c r="AS16" i="4"/>
  <c r="P17" i="4"/>
  <c r="X17" i="4"/>
  <c r="AF17" i="4"/>
  <c r="AN17" i="4"/>
  <c r="D110" i="5"/>
  <c r="D111" i="5" s="1"/>
  <c r="N66" i="1"/>
  <c r="N62" i="1"/>
  <c r="N61" i="1"/>
  <c r="AG61" i="1" s="1"/>
  <c r="C102" i="5" l="1"/>
  <c r="AG62" i="1"/>
  <c r="BA62" i="1"/>
  <c r="BA66" i="1"/>
  <c r="AG66" i="1"/>
  <c r="AG12" i="3"/>
  <c r="K14" i="3"/>
  <c r="S14" i="3"/>
  <c r="AE14" i="3"/>
  <c r="D14" i="3"/>
  <c r="L14" i="3"/>
  <c r="T14" i="3"/>
  <c r="X14" i="3"/>
  <c r="Z14" i="3"/>
  <c r="E14" i="3"/>
  <c r="U14" i="3"/>
  <c r="AC14" i="3"/>
  <c r="P14" i="3"/>
  <c r="N14" i="3"/>
  <c r="V14" i="3"/>
  <c r="AD14" i="3"/>
  <c r="O14" i="3"/>
  <c r="W14" i="3"/>
  <c r="I14" i="3"/>
  <c r="Y14" i="3"/>
  <c r="J14" i="3"/>
  <c r="X22" i="4"/>
  <c r="X24" i="4" s="1"/>
  <c r="X26" i="4" s="1"/>
  <c r="L11" i="3" s="1"/>
  <c r="AX22" i="4"/>
  <c r="AX24" i="4" s="1"/>
  <c r="AX26" i="4" s="1"/>
  <c r="O22" i="4"/>
  <c r="O24" i="4" s="1"/>
  <c r="O26" i="4" s="1"/>
  <c r="C11" i="3" s="1"/>
  <c r="AY22" i="4"/>
  <c r="AY24" i="4" s="1"/>
  <c r="AY26" i="4" s="1"/>
  <c r="AQ22" i="4"/>
  <c r="AQ24" i="4" s="1"/>
  <c r="AQ26" i="4" s="1"/>
  <c r="AE11" i="3" s="1"/>
  <c r="R22" i="4"/>
  <c r="R24" i="4" s="1"/>
  <c r="AB22" i="4"/>
  <c r="AB24" i="4" s="1"/>
  <c r="AB26" i="4" s="1"/>
  <c r="P11" i="3" s="1"/>
  <c r="Z22" i="4"/>
  <c r="Z24" i="4" s="1"/>
  <c r="Z26" i="4" s="1"/>
  <c r="N11" i="3" s="1"/>
  <c r="AH22" i="4"/>
  <c r="AH24" i="4" s="1"/>
  <c r="S22" i="4"/>
  <c r="AJ22" i="4"/>
  <c r="AJ24" i="4" s="1"/>
  <c r="AJ26" i="4" s="1"/>
  <c r="X11" i="3" s="1"/>
  <c r="AI22" i="4"/>
  <c r="AI24" i="4" s="1"/>
  <c r="AI26" i="4" s="1"/>
  <c r="W11" i="3" s="1"/>
  <c r="AK22" i="4"/>
  <c r="AK24" i="4" s="1"/>
  <c r="AK26" i="4" s="1"/>
  <c r="Y11" i="3" s="1"/>
  <c r="BB22" i="4"/>
  <c r="BB24" i="4" s="1"/>
  <c r="BB26" i="4" s="1"/>
  <c r="P22" i="4"/>
  <c r="P24" i="4" s="1"/>
  <c r="P26" i="4" s="1"/>
  <c r="D11" i="3" s="1"/>
  <c r="AO22" i="4"/>
  <c r="AO24" i="4" s="1"/>
  <c r="AO26" i="4" s="1"/>
  <c r="AC11" i="3" s="1"/>
  <c r="AA22" i="4"/>
  <c r="AA24" i="4" s="1"/>
  <c r="AA26" i="4" s="1"/>
  <c r="O11" i="3" s="1"/>
  <c r="AS22" i="4"/>
  <c r="N22" i="4"/>
  <c r="T22" i="4"/>
  <c r="AN22" i="4"/>
  <c r="AW22" i="4"/>
  <c r="AM22" i="4"/>
  <c r="AD22" i="4"/>
  <c r="AP22" i="4"/>
  <c r="AF22" i="4"/>
  <c r="V22" i="4"/>
  <c r="AV22" i="4"/>
  <c r="AZ22" i="4"/>
  <c r="W22" i="4"/>
  <c r="AL22" i="4"/>
  <c r="AE22" i="4"/>
  <c r="Y22" i="4"/>
  <c r="BA22" i="4"/>
  <c r="AR22" i="4"/>
  <c r="Q22" i="4"/>
  <c r="U22" i="4"/>
  <c r="AC22" i="4"/>
  <c r="AT22" i="4"/>
  <c r="AU22" i="4"/>
  <c r="AG22" i="4"/>
  <c r="C9" i="3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K52" i="1"/>
  <c r="L52" i="1" s="1"/>
  <c r="M41" i="1"/>
  <c r="M18" i="1"/>
  <c r="M55" i="1"/>
  <c r="M28" i="1"/>
  <c r="K60" i="1"/>
  <c r="K58" i="1"/>
  <c r="L58" i="1" s="1"/>
  <c r="K57" i="1"/>
  <c r="L57" i="1" s="1"/>
  <c r="K56" i="1"/>
  <c r="L56" i="1" s="1"/>
  <c r="K55" i="1"/>
  <c r="K54" i="1"/>
  <c r="K53" i="1"/>
  <c r="L53" i="1" s="1"/>
  <c r="K51" i="1"/>
  <c r="L51" i="1" s="1"/>
  <c r="K49" i="1"/>
  <c r="K48" i="1"/>
  <c r="K47" i="1"/>
  <c r="K46" i="1"/>
  <c r="K44" i="1"/>
  <c r="K43" i="1"/>
  <c r="K42" i="1"/>
  <c r="L42" i="1" s="1"/>
  <c r="K41" i="1"/>
  <c r="K40" i="1"/>
  <c r="K39" i="1"/>
  <c r="K38" i="1"/>
  <c r="K37" i="1"/>
  <c r="K35" i="1"/>
  <c r="K34" i="1"/>
  <c r="K33" i="1"/>
  <c r="L33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3" i="1"/>
  <c r="K22" i="1"/>
  <c r="K21" i="1"/>
  <c r="L21" i="1" s="1"/>
  <c r="K19" i="1"/>
  <c r="L19" i="1" s="1"/>
  <c r="K18" i="1"/>
  <c r="L18" i="1" s="1"/>
  <c r="K17" i="1"/>
  <c r="L17" i="1" s="1"/>
  <c r="K16" i="1"/>
  <c r="L16" i="1" s="1"/>
  <c r="K15" i="1"/>
  <c r="K13" i="1"/>
  <c r="K12" i="1"/>
  <c r="K11" i="1"/>
  <c r="L11" i="1" s="1"/>
  <c r="C7" i="1"/>
  <c r="R14" i="3" l="1"/>
  <c r="Q14" i="3"/>
  <c r="G14" i="3"/>
  <c r="F14" i="3"/>
  <c r="M14" i="3"/>
  <c r="AB14" i="3"/>
  <c r="H14" i="3"/>
  <c r="AA14" i="3"/>
  <c r="AF14" i="3"/>
  <c r="V25" i="1"/>
  <c r="AD25" i="1"/>
  <c r="AL25" i="1"/>
  <c r="AT25" i="1"/>
  <c r="BB25" i="1"/>
  <c r="X25" i="1"/>
  <c r="AF25" i="1"/>
  <c r="AN25" i="1"/>
  <c r="AV25" i="1"/>
  <c r="Q25" i="1"/>
  <c r="Y25" i="1"/>
  <c r="AG25" i="1"/>
  <c r="AO25" i="1"/>
  <c r="AW25" i="1"/>
  <c r="R25" i="1"/>
  <c r="Z25" i="1"/>
  <c r="AH25" i="1"/>
  <c r="AP25" i="1"/>
  <c r="AX25" i="1"/>
  <c r="T25" i="1"/>
  <c r="AB25" i="1"/>
  <c r="AJ25" i="1"/>
  <c r="AR25" i="1"/>
  <c r="AZ25" i="1"/>
  <c r="U25" i="1"/>
  <c r="AC25" i="1"/>
  <c r="AK25" i="1"/>
  <c r="AS25" i="1"/>
  <c r="BA25" i="1"/>
  <c r="AM25" i="1"/>
  <c r="AQ25" i="1"/>
  <c r="AU25" i="1"/>
  <c r="S25" i="1"/>
  <c r="AY25" i="1"/>
  <c r="W25" i="1"/>
  <c r="BC25" i="1"/>
  <c r="AA25" i="1"/>
  <c r="AE25" i="1"/>
  <c r="P25" i="1"/>
  <c r="AI25" i="1"/>
  <c r="T17" i="1"/>
  <c r="AB17" i="1"/>
  <c r="AJ17" i="1"/>
  <c r="AR17" i="1"/>
  <c r="AZ17" i="1"/>
  <c r="V17" i="1"/>
  <c r="AD17" i="1"/>
  <c r="AL17" i="1"/>
  <c r="AT17" i="1"/>
  <c r="BB17" i="1"/>
  <c r="W17" i="1"/>
  <c r="AE17" i="1"/>
  <c r="AM17" i="1"/>
  <c r="AU17" i="1"/>
  <c r="BC17" i="1"/>
  <c r="X17" i="1"/>
  <c r="AF17" i="1"/>
  <c r="AN17" i="1"/>
  <c r="AV17" i="1"/>
  <c r="R17" i="1"/>
  <c r="Z17" i="1"/>
  <c r="AH17" i="1"/>
  <c r="AP17" i="1"/>
  <c r="AX17" i="1"/>
  <c r="S17" i="1"/>
  <c r="AA17" i="1"/>
  <c r="AI17" i="1"/>
  <c r="AQ17" i="1"/>
  <c r="AY17" i="1"/>
  <c r="AC17" i="1"/>
  <c r="AG17" i="1"/>
  <c r="AK17" i="1"/>
  <c r="AO17" i="1"/>
  <c r="AS17" i="1"/>
  <c r="Q17" i="1"/>
  <c r="AW17" i="1"/>
  <c r="U17" i="1"/>
  <c r="BA17" i="1"/>
  <c r="Y17" i="1"/>
  <c r="P17" i="1"/>
  <c r="X27" i="1"/>
  <c r="AF27" i="1"/>
  <c r="AN27" i="1"/>
  <c r="AV27" i="1"/>
  <c r="R27" i="1"/>
  <c r="Z27" i="1"/>
  <c r="AH27" i="1"/>
  <c r="AP27" i="1"/>
  <c r="AX27" i="1"/>
  <c r="S27" i="1"/>
  <c r="AA27" i="1"/>
  <c r="AI27" i="1"/>
  <c r="AQ27" i="1"/>
  <c r="AY27" i="1"/>
  <c r="T27" i="1"/>
  <c r="AB27" i="1"/>
  <c r="AJ27" i="1"/>
  <c r="AR27" i="1"/>
  <c r="AZ27" i="1"/>
  <c r="V27" i="1"/>
  <c r="AD27" i="1"/>
  <c r="AL27" i="1"/>
  <c r="AT27" i="1"/>
  <c r="BB27" i="1"/>
  <c r="W27" i="1"/>
  <c r="AE27" i="1"/>
  <c r="AM27" i="1"/>
  <c r="AU27" i="1"/>
  <c r="BC27" i="1"/>
  <c r="Y27" i="1"/>
  <c r="AC27" i="1"/>
  <c r="AG27" i="1"/>
  <c r="AK27" i="1"/>
  <c r="AO27" i="1"/>
  <c r="AS27" i="1"/>
  <c r="P27" i="1"/>
  <c r="Q27" i="1"/>
  <c r="AW27" i="1"/>
  <c r="U27" i="1"/>
  <c r="BA27" i="1"/>
  <c r="Q56" i="1"/>
  <c r="Y56" i="1"/>
  <c r="AG56" i="1"/>
  <c r="AO56" i="1"/>
  <c r="AW56" i="1"/>
  <c r="R56" i="1"/>
  <c r="Z56" i="1"/>
  <c r="AH56" i="1"/>
  <c r="AP56" i="1"/>
  <c r="AX56" i="1"/>
  <c r="S56" i="1"/>
  <c r="AA56" i="1"/>
  <c r="AI56" i="1"/>
  <c r="AQ56" i="1"/>
  <c r="AY56" i="1"/>
  <c r="P56" i="1"/>
  <c r="T56" i="1"/>
  <c r="AB56" i="1"/>
  <c r="AJ56" i="1"/>
  <c r="AR56" i="1"/>
  <c r="AZ56" i="1"/>
  <c r="U56" i="1"/>
  <c r="AC56" i="1"/>
  <c r="AK56" i="1"/>
  <c r="AS56" i="1"/>
  <c r="BA56" i="1"/>
  <c r="V56" i="1"/>
  <c r="AD56" i="1"/>
  <c r="AL56" i="1"/>
  <c r="AT56" i="1"/>
  <c r="BB56" i="1"/>
  <c r="W56" i="1"/>
  <c r="AE56" i="1"/>
  <c r="AM56" i="1"/>
  <c r="AU56" i="1"/>
  <c r="BC56" i="1"/>
  <c r="X56" i="1"/>
  <c r="AF56" i="1"/>
  <c r="AN56" i="1"/>
  <c r="AV56" i="1"/>
  <c r="U52" i="1"/>
  <c r="AC52" i="1"/>
  <c r="AK52" i="1"/>
  <c r="AS52" i="1"/>
  <c r="BA52" i="1"/>
  <c r="V52" i="1"/>
  <c r="AD52" i="1"/>
  <c r="AL52" i="1"/>
  <c r="AT52" i="1"/>
  <c r="BB52" i="1"/>
  <c r="W52" i="1"/>
  <c r="AE52" i="1"/>
  <c r="AM52" i="1"/>
  <c r="AU52" i="1"/>
  <c r="BC52" i="1"/>
  <c r="X52" i="1"/>
  <c r="AF52" i="1"/>
  <c r="AN52" i="1"/>
  <c r="AV52" i="1"/>
  <c r="Q52" i="1"/>
  <c r="Y52" i="1"/>
  <c r="AG52" i="1"/>
  <c r="AO52" i="1"/>
  <c r="AW52" i="1"/>
  <c r="R52" i="1"/>
  <c r="Z52" i="1"/>
  <c r="AH52" i="1"/>
  <c r="AP52" i="1"/>
  <c r="AX52" i="1"/>
  <c r="S52" i="1"/>
  <c r="AA52" i="1"/>
  <c r="AI52" i="1"/>
  <c r="AQ52" i="1"/>
  <c r="AY52" i="1"/>
  <c r="P52" i="1"/>
  <c r="T52" i="1"/>
  <c r="AB52" i="1"/>
  <c r="AJ52" i="1"/>
  <c r="AZ52" i="1"/>
  <c r="AR52" i="1"/>
  <c r="W26" i="1"/>
  <c r="AE26" i="1"/>
  <c r="AM26" i="1"/>
  <c r="AU26" i="1"/>
  <c r="BC26" i="1"/>
  <c r="Q26" i="1"/>
  <c r="Y26" i="1"/>
  <c r="AG26" i="1"/>
  <c r="AO26" i="1"/>
  <c r="AW26" i="1"/>
  <c r="R26" i="1"/>
  <c r="Z26" i="1"/>
  <c r="AH26" i="1"/>
  <c r="AP26" i="1"/>
  <c r="AX26" i="1"/>
  <c r="S26" i="1"/>
  <c r="AA26" i="1"/>
  <c r="AI26" i="1"/>
  <c r="AQ26" i="1"/>
  <c r="AY26" i="1"/>
  <c r="U26" i="1"/>
  <c r="AC26" i="1"/>
  <c r="AK26" i="1"/>
  <c r="AS26" i="1"/>
  <c r="BA26" i="1"/>
  <c r="V26" i="1"/>
  <c r="AD26" i="1"/>
  <c r="AL26" i="1"/>
  <c r="AT26" i="1"/>
  <c r="BB26" i="1"/>
  <c r="AF26" i="1"/>
  <c r="AJ26" i="1"/>
  <c r="AN26" i="1"/>
  <c r="AR26" i="1"/>
  <c r="AV26" i="1"/>
  <c r="P26" i="1"/>
  <c r="T26" i="1"/>
  <c r="AZ26" i="1"/>
  <c r="X26" i="1"/>
  <c r="AB26" i="1"/>
  <c r="T44" i="1"/>
  <c r="AB44" i="1"/>
  <c r="AJ44" i="1"/>
  <c r="AR44" i="1"/>
  <c r="AZ44" i="1"/>
  <c r="U44" i="1"/>
  <c r="AC44" i="1"/>
  <c r="AK44" i="1"/>
  <c r="AS44" i="1"/>
  <c r="BA44" i="1"/>
  <c r="V44" i="1"/>
  <c r="AD44" i="1"/>
  <c r="AL44" i="1"/>
  <c r="AT44" i="1"/>
  <c r="BB44" i="1"/>
  <c r="W44" i="1"/>
  <c r="AE44" i="1"/>
  <c r="AM44" i="1"/>
  <c r="AU44" i="1"/>
  <c r="BC44" i="1"/>
  <c r="X44" i="1"/>
  <c r="AF44" i="1"/>
  <c r="AN44" i="1"/>
  <c r="AV44" i="1"/>
  <c r="Q44" i="1"/>
  <c r="Y44" i="1"/>
  <c r="AG44" i="1"/>
  <c r="AO44" i="1"/>
  <c r="AW44" i="1"/>
  <c r="R44" i="1"/>
  <c r="Z44" i="1"/>
  <c r="AH44" i="1"/>
  <c r="AP44" i="1"/>
  <c r="AX44" i="1"/>
  <c r="S44" i="1"/>
  <c r="AY44" i="1"/>
  <c r="AA44" i="1"/>
  <c r="AI44" i="1"/>
  <c r="P44" i="1"/>
  <c r="AQ44" i="1"/>
  <c r="U18" i="1"/>
  <c r="AC18" i="1"/>
  <c r="AK18" i="1"/>
  <c r="AS18" i="1"/>
  <c r="BA18" i="1"/>
  <c r="W18" i="1"/>
  <c r="AE18" i="1"/>
  <c r="AM18" i="1"/>
  <c r="AU18" i="1"/>
  <c r="BC18" i="1"/>
  <c r="X18" i="1"/>
  <c r="AF18" i="1"/>
  <c r="AN18" i="1"/>
  <c r="AV18" i="1"/>
  <c r="Q18" i="1"/>
  <c r="Y18" i="1"/>
  <c r="AG18" i="1"/>
  <c r="AO18" i="1"/>
  <c r="AW18" i="1"/>
  <c r="S18" i="1"/>
  <c r="AA18" i="1"/>
  <c r="AI18" i="1"/>
  <c r="AQ18" i="1"/>
  <c r="AY18" i="1"/>
  <c r="T18" i="1"/>
  <c r="AB18" i="1"/>
  <c r="AJ18" i="1"/>
  <c r="AR18" i="1"/>
  <c r="AZ18" i="1"/>
  <c r="V18" i="1"/>
  <c r="BB18" i="1"/>
  <c r="P18" i="1"/>
  <c r="Z18" i="1"/>
  <c r="AD18" i="1"/>
  <c r="AH18" i="1"/>
  <c r="AL18" i="1"/>
  <c r="AP18" i="1"/>
  <c r="AT18" i="1"/>
  <c r="R18" i="1"/>
  <c r="AX18" i="1"/>
  <c r="Q28" i="1"/>
  <c r="Y28" i="1"/>
  <c r="AG28" i="1"/>
  <c r="AO28" i="1"/>
  <c r="AW28" i="1"/>
  <c r="S28" i="1"/>
  <c r="AA28" i="1"/>
  <c r="AI28" i="1"/>
  <c r="AQ28" i="1"/>
  <c r="AY28" i="1"/>
  <c r="T28" i="1"/>
  <c r="AB28" i="1"/>
  <c r="AJ28" i="1"/>
  <c r="AR28" i="1"/>
  <c r="AZ28" i="1"/>
  <c r="U28" i="1"/>
  <c r="AC28" i="1"/>
  <c r="AK28" i="1"/>
  <c r="AS28" i="1"/>
  <c r="BA28" i="1"/>
  <c r="W28" i="1"/>
  <c r="AE28" i="1"/>
  <c r="AM28" i="1"/>
  <c r="AU28" i="1"/>
  <c r="BC28" i="1"/>
  <c r="X28" i="1"/>
  <c r="AF28" i="1"/>
  <c r="AN28" i="1"/>
  <c r="AV28" i="1"/>
  <c r="R28" i="1"/>
  <c r="AX28" i="1"/>
  <c r="V28" i="1"/>
  <c r="BB28" i="1"/>
  <c r="Z28" i="1"/>
  <c r="AD28" i="1"/>
  <c r="AH28" i="1"/>
  <c r="AL28" i="1"/>
  <c r="AP28" i="1"/>
  <c r="P28" i="1"/>
  <c r="AT28" i="1"/>
  <c r="R57" i="1"/>
  <c r="Z57" i="1"/>
  <c r="AH57" i="1"/>
  <c r="AP57" i="1"/>
  <c r="AX57" i="1"/>
  <c r="S57" i="1"/>
  <c r="AA57" i="1"/>
  <c r="AI57" i="1"/>
  <c r="AQ57" i="1"/>
  <c r="AY57" i="1"/>
  <c r="T57" i="1"/>
  <c r="AB57" i="1"/>
  <c r="AJ57" i="1"/>
  <c r="AR57" i="1"/>
  <c r="AZ57" i="1"/>
  <c r="U57" i="1"/>
  <c r="AC57" i="1"/>
  <c r="AK57" i="1"/>
  <c r="AS57" i="1"/>
  <c r="BA57" i="1"/>
  <c r="V57" i="1"/>
  <c r="AD57" i="1"/>
  <c r="AL57" i="1"/>
  <c r="AT57" i="1"/>
  <c r="BB57" i="1"/>
  <c r="W57" i="1"/>
  <c r="AE57" i="1"/>
  <c r="AM57" i="1"/>
  <c r="AU57" i="1"/>
  <c r="BC57" i="1"/>
  <c r="X57" i="1"/>
  <c r="AF57" i="1"/>
  <c r="AN57" i="1"/>
  <c r="AV57" i="1"/>
  <c r="AG57" i="1"/>
  <c r="AO57" i="1"/>
  <c r="AW57" i="1"/>
  <c r="Y57" i="1"/>
  <c r="P57" i="1"/>
  <c r="Q57" i="1"/>
  <c r="S43" i="1"/>
  <c r="AA43" i="1"/>
  <c r="AI43" i="1"/>
  <c r="AQ43" i="1"/>
  <c r="AY43" i="1"/>
  <c r="T43" i="1"/>
  <c r="AB43" i="1"/>
  <c r="AJ43" i="1"/>
  <c r="AR43" i="1"/>
  <c r="AZ43" i="1"/>
  <c r="U43" i="1"/>
  <c r="AC43" i="1"/>
  <c r="AK43" i="1"/>
  <c r="AS43" i="1"/>
  <c r="BA43" i="1"/>
  <c r="V43" i="1"/>
  <c r="AD43" i="1"/>
  <c r="AL43" i="1"/>
  <c r="AT43" i="1"/>
  <c r="BB43" i="1"/>
  <c r="W43" i="1"/>
  <c r="AE43" i="1"/>
  <c r="AM43" i="1"/>
  <c r="AU43" i="1"/>
  <c r="BC43" i="1"/>
  <c r="X43" i="1"/>
  <c r="AF43" i="1"/>
  <c r="AN43" i="1"/>
  <c r="AV43" i="1"/>
  <c r="Q43" i="1"/>
  <c r="Y43" i="1"/>
  <c r="AG43" i="1"/>
  <c r="AO43" i="1"/>
  <c r="AW43" i="1"/>
  <c r="P43" i="1"/>
  <c r="AH43" i="1"/>
  <c r="AP43" i="1"/>
  <c r="AX43" i="1"/>
  <c r="R43" i="1"/>
  <c r="Z43" i="1"/>
  <c r="S16" i="1"/>
  <c r="AA16" i="1"/>
  <c r="AI16" i="1"/>
  <c r="AQ16" i="1"/>
  <c r="AY16" i="1"/>
  <c r="U16" i="1"/>
  <c r="AC16" i="1"/>
  <c r="AK16" i="1"/>
  <c r="AS16" i="1"/>
  <c r="BA16" i="1"/>
  <c r="V16" i="1"/>
  <c r="AD16" i="1"/>
  <c r="AL16" i="1"/>
  <c r="AT16" i="1"/>
  <c r="BB16" i="1"/>
  <c r="W16" i="1"/>
  <c r="AE16" i="1"/>
  <c r="AM16" i="1"/>
  <c r="AU16" i="1"/>
  <c r="BC16" i="1"/>
  <c r="Q16" i="1"/>
  <c r="Y16" i="1"/>
  <c r="AG16" i="1"/>
  <c r="AO16" i="1"/>
  <c r="AW16" i="1"/>
  <c r="R16" i="1"/>
  <c r="Z16" i="1"/>
  <c r="AH16" i="1"/>
  <c r="AP16" i="1"/>
  <c r="AX16" i="1"/>
  <c r="AJ16" i="1"/>
  <c r="AN16" i="1"/>
  <c r="AR16" i="1"/>
  <c r="AV16" i="1"/>
  <c r="T16" i="1"/>
  <c r="AZ16" i="1"/>
  <c r="AF16" i="1"/>
  <c r="X16" i="1"/>
  <c r="AB16" i="1"/>
  <c r="P16" i="1"/>
  <c r="V19" i="1"/>
  <c r="AD19" i="1"/>
  <c r="AL19" i="1"/>
  <c r="AT19" i="1"/>
  <c r="BB19" i="1"/>
  <c r="X19" i="1"/>
  <c r="AF19" i="1"/>
  <c r="AN19" i="1"/>
  <c r="AV19" i="1"/>
  <c r="Q19" i="1"/>
  <c r="Y19" i="1"/>
  <c r="AG19" i="1"/>
  <c r="AO19" i="1"/>
  <c r="AW19" i="1"/>
  <c r="R19" i="1"/>
  <c r="Z19" i="1"/>
  <c r="AH19" i="1"/>
  <c r="AP19" i="1"/>
  <c r="AX19" i="1"/>
  <c r="T19" i="1"/>
  <c r="AB19" i="1"/>
  <c r="AJ19" i="1"/>
  <c r="AR19" i="1"/>
  <c r="AZ19" i="1"/>
  <c r="U19" i="1"/>
  <c r="AC19" i="1"/>
  <c r="AK19" i="1"/>
  <c r="AS19" i="1"/>
  <c r="BA19" i="1"/>
  <c r="AU19" i="1"/>
  <c r="S19" i="1"/>
  <c r="AY19" i="1"/>
  <c r="P19" i="1"/>
  <c r="W19" i="1"/>
  <c r="BC19" i="1"/>
  <c r="AA19" i="1"/>
  <c r="AE19" i="1"/>
  <c r="AI19" i="1"/>
  <c r="AM19" i="1"/>
  <c r="AQ19" i="1"/>
  <c r="R29" i="1"/>
  <c r="Z29" i="1"/>
  <c r="AH29" i="1"/>
  <c r="AP29" i="1"/>
  <c r="AX29" i="1"/>
  <c r="T29" i="1"/>
  <c r="AB29" i="1"/>
  <c r="AJ29" i="1"/>
  <c r="AR29" i="1"/>
  <c r="AZ29" i="1"/>
  <c r="U29" i="1"/>
  <c r="AC29" i="1"/>
  <c r="AK29" i="1"/>
  <c r="AS29" i="1"/>
  <c r="BA29" i="1"/>
  <c r="V29" i="1"/>
  <c r="AD29" i="1"/>
  <c r="AL29" i="1"/>
  <c r="AT29" i="1"/>
  <c r="BB29" i="1"/>
  <c r="X29" i="1"/>
  <c r="AF29" i="1"/>
  <c r="AN29" i="1"/>
  <c r="AV29" i="1"/>
  <c r="Q29" i="1"/>
  <c r="Y29" i="1"/>
  <c r="AG29" i="1"/>
  <c r="AO29" i="1"/>
  <c r="AW29" i="1"/>
  <c r="AQ29" i="1"/>
  <c r="AU29" i="1"/>
  <c r="S29" i="1"/>
  <c r="AY29" i="1"/>
  <c r="W29" i="1"/>
  <c r="BC29" i="1"/>
  <c r="AA29" i="1"/>
  <c r="AE29" i="1"/>
  <c r="AI29" i="1"/>
  <c r="P29" i="1"/>
  <c r="AM29" i="1"/>
  <c r="S58" i="1"/>
  <c r="AA58" i="1"/>
  <c r="AI58" i="1"/>
  <c r="AQ58" i="1"/>
  <c r="AY58" i="1"/>
  <c r="T58" i="1"/>
  <c r="AB58" i="1"/>
  <c r="AJ58" i="1"/>
  <c r="AR58" i="1"/>
  <c r="AZ58" i="1"/>
  <c r="U58" i="1"/>
  <c r="AC58" i="1"/>
  <c r="AK58" i="1"/>
  <c r="AS58" i="1"/>
  <c r="BA58" i="1"/>
  <c r="V58" i="1"/>
  <c r="AD58" i="1"/>
  <c r="AL58" i="1"/>
  <c r="AT58" i="1"/>
  <c r="BB58" i="1"/>
  <c r="W58" i="1"/>
  <c r="AE58" i="1"/>
  <c r="AM58" i="1"/>
  <c r="AU58" i="1"/>
  <c r="BC58" i="1"/>
  <c r="P58" i="1"/>
  <c r="X58" i="1"/>
  <c r="AF58" i="1"/>
  <c r="AN58" i="1"/>
  <c r="AV58" i="1"/>
  <c r="Q58" i="1"/>
  <c r="Y58" i="1"/>
  <c r="AG58" i="1"/>
  <c r="AO58" i="1"/>
  <c r="AW58" i="1"/>
  <c r="R58" i="1"/>
  <c r="Z58" i="1"/>
  <c r="AP58" i="1"/>
  <c r="AX58" i="1"/>
  <c r="AH58" i="1"/>
  <c r="W11" i="1"/>
  <c r="AE11" i="1"/>
  <c r="AM11" i="1"/>
  <c r="AU11" i="1"/>
  <c r="BC11" i="1"/>
  <c r="X11" i="1"/>
  <c r="AF11" i="1"/>
  <c r="AN11" i="1"/>
  <c r="AV11" i="1"/>
  <c r="Q11" i="1"/>
  <c r="Y11" i="1"/>
  <c r="AG11" i="1"/>
  <c r="AO11" i="1"/>
  <c r="AW11" i="1"/>
  <c r="R11" i="1"/>
  <c r="Z11" i="1"/>
  <c r="AH11" i="1"/>
  <c r="AP11" i="1"/>
  <c r="AX11" i="1"/>
  <c r="S11" i="1"/>
  <c r="AA11" i="1"/>
  <c r="AI11" i="1"/>
  <c r="AQ11" i="1"/>
  <c r="AY11" i="1"/>
  <c r="U11" i="1"/>
  <c r="AC11" i="1"/>
  <c r="AK11" i="1"/>
  <c r="AS11" i="1"/>
  <c r="BA11" i="1"/>
  <c r="V11" i="1"/>
  <c r="AD11" i="1"/>
  <c r="AL11" i="1"/>
  <c r="AT11" i="1"/>
  <c r="BB11" i="1"/>
  <c r="T11" i="1"/>
  <c r="P11" i="1"/>
  <c r="AB11" i="1"/>
  <c r="AJ11" i="1"/>
  <c r="AR11" i="1"/>
  <c r="AZ11" i="1"/>
  <c r="S21" i="1"/>
  <c r="AA21" i="1"/>
  <c r="AI21" i="1"/>
  <c r="AQ21" i="1"/>
  <c r="AY21" i="1"/>
  <c r="U21" i="1"/>
  <c r="AC21" i="1"/>
  <c r="AK21" i="1"/>
  <c r="AS21" i="1"/>
  <c r="BA21" i="1"/>
  <c r="V21" i="1"/>
  <c r="AD21" i="1"/>
  <c r="AL21" i="1"/>
  <c r="AT21" i="1"/>
  <c r="BB21" i="1"/>
  <c r="W21" i="1"/>
  <c r="AE21" i="1"/>
  <c r="AM21" i="1"/>
  <c r="AU21" i="1"/>
  <c r="BC21" i="1"/>
  <c r="Q21" i="1"/>
  <c r="Y21" i="1"/>
  <c r="AG21" i="1"/>
  <c r="AO21" i="1"/>
  <c r="AW21" i="1"/>
  <c r="R21" i="1"/>
  <c r="Z21" i="1"/>
  <c r="AH21" i="1"/>
  <c r="AP21" i="1"/>
  <c r="AX21" i="1"/>
  <c r="AJ21" i="1"/>
  <c r="AN21" i="1"/>
  <c r="AR21" i="1"/>
  <c r="P21" i="1"/>
  <c r="AV21" i="1"/>
  <c r="T21" i="1"/>
  <c r="AZ21" i="1"/>
  <c r="X21" i="1"/>
  <c r="AB21" i="1"/>
  <c r="AF21" i="1"/>
  <c r="S30" i="1"/>
  <c r="AA30" i="1"/>
  <c r="AI30" i="1"/>
  <c r="AQ30" i="1"/>
  <c r="AY30" i="1"/>
  <c r="U30" i="1"/>
  <c r="AC30" i="1"/>
  <c r="AK30" i="1"/>
  <c r="AS30" i="1"/>
  <c r="BA30" i="1"/>
  <c r="V30" i="1"/>
  <c r="AD30" i="1"/>
  <c r="AL30" i="1"/>
  <c r="AT30" i="1"/>
  <c r="BB30" i="1"/>
  <c r="W30" i="1"/>
  <c r="AE30" i="1"/>
  <c r="AM30" i="1"/>
  <c r="AU30" i="1"/>
  <c r="BC30" i="1"/>
  <c r="Q30" i="1"/>
  <c r="Y30" i="1"/>
  <c r="AG30" i="1"/>
  <c r="AO30" i="1"/>
  <c r="AW30" i="1"/>
  <c r="R30" i="1"/>
  <c r="Z30" i="1"/>
  <c r="AH30" i="1"/>
  <c r="AP30" i="1"/>
  <c r="AX30" i="1"/>
  <c r="AJ30" i="1"/>
  <c r="P30" i="1"/>
  <c r="AN30" i="1"/>
  <c r="AR30" i="1"/>
  <c r="AV30" i="1"/>
  <c r="T30" i="1"/>
  <c r="AZ30" i="1"/>
  <c r="X30" i="1"/>
  <c r="AB30" i="1"/>
  <c r="AF30" i="1"/>
  <c r="W60" i="1"/>
  <c r="AE60" i="1"/>
  <c r="AM60" i="1"/>
  <c r="AU60" i="1"/>
  <c r="BC60" i="1"/>
  <c r="X60" i="1"/>
  <c r="AF60" i="1"/>
  <c r="AN60" i="1"/>
  <c r="AV60" i="1"/>
  <c r="P60" i="1"/>
  <c r="Q60" i="1"/>
  <c r="Y60" i="1"/>
  <c r="AG60" i="1"/>
  <c r="AO60" i="1"/>
  <c r="AW60" i="1"/>
  <c r="S60" i="1"/>
  <c r="AA60" i="1"/>
  <c r="AI60" i="1"/>
  <c r="AQ60" i="1"/>
  <c r="AY60" i="1"/>
  <c r="T60" i="1"/>
  <c r="AB60" i="1"/>
  <c r="AJ60" i="1"/>
  <c r="AR60" i="1"/>
  <c r="AZ60" i="1"/>
  <c r="U60" i="1"/>
  <c r="AC60" i="1"/>
  <c r="AK60" i="1"/>
  <c r="AS60" i="1"/>
  <c r="BA60" i="1"/>
  <c r="AT60" i="1"/>
  <c r="R60" i="1"/>
  <c r="AX60" i="1"/>
  <c r="AP60" i="1"/>
  <c r="V60" i="1"/>
  <c r="BB60" i="1"/>
  <c r="Z60" i="1"/>
  <c r="AD60" i="1"/>
  <c r="AH60" i="1"/>
  <c r="AL60" i="1"/>
  <c r="T51" i="1"/>
  <c r="AB51" i="1"/>
  <c r="AJ51" i="1"/>
  <c r="AR51" i="1"/>
  <c r="AZ51" i="1"/>
  <c r="U51" i="1"/>
  <c r="AC51" i="1"/>
  <c r="AK51" i="1"/>
  <c r="AS51" i="1"/>
  <c r="BA51" i="1"/>
  <c r="V51" i="1"/>
  <c r="AD51" i="1"/>
  <c r="AL51" i="1"/>
  <c r="AT51" i="1"/>
  <c r="BB51" i="1"/>
  <c r="W51" i="1"/>
  <c r="AE51" i="1"/>
  <c r="AM51" i="1"/>
  <c r="AU51" i="1"/>
  <c r="BC51" i="1"/>
  <c r="X51" i="1"/>
  <c r="AF51" i="1"/>
  <c r="AN51" i="1"/>
  <c r="AV51" i="1"/>
  <c r="Q51" i="1"/>
  <c r="Y51" i="1"/>
  <c r="AG51" i="1"/>
  <c r="AO51" i="1"/>
  <c r="AW51" i="1"/>
  <c r="P51" i="1"/>
  <c r="R51" i="1"/>
  <c r="Z51" i="1"/>
  <c r="AH51" i="1"/>
  <c r="AP51" i="1"/>
  <c r="AX51" i="1"/>
  <c r="AQ51" i="1"/>
  <c r="AY51" i="1"/>
  <c r="AI51" i="1"/>
  <c r="S51" i="1"/>
  <c r="AA51" i="1"/>
  <c r="T31" i="1"/>
  <c r="AB31" i="1"/>
  <c r="AJ31" i="1"/>
  <c r="AR31" i="1"/>
  <c r="AZ31" i="1"/>
  <c r="V31" i="1"/>
  <c r="AD31" i="1"/>
  <c r="AL31" i="1"/>
  <c r="AT31" i="1"/>
  <c r="BB31" i="1"/>
  <c r="W31" i="1"/>
  <c r="AE31" i="1"/>
  <c r="AM31" i="1"/>
  <c r="AU31" i="1"/>
  <c r="BC31" i="1"/>
  <c r="X31" i="1"/>
  <c r="AF31" i="1"/>
  <c r="AN31" i="1"/>
  <c r="AV31" i="1"/>
  <c r="R31" i="1"/>
  <c r="Z31" i="1"/>
  <c r="AH31" i="1"/>
  <c r="AP31" i="1"/>
  <c r="AX31" i="1"/>
  <c r="S31" i="1"/>
  <c r="AA31" i="1"/>
  <c r="AI31" i="1"/>
  <c r="AQ31" i="1"/>
  <c r="AY31" i="1"/>
  <c r="AC31" i="1"/>
  <c r="AG31" i="1"/>
  <c r="P31" i="1"/>
  <c r="AK31" i="1"/>
  <c r="AO31" i="1"/>
  <c r="AS31" i="1"/>
  <c r="Q31" i="1"/>
  <c r="AW31" i="1"/>
  <c r="U31" i="1"/>
  <c r="BA31" i="1"/>
  <c r="Y31" i="1"/>
  <c r="X33" i="1"/>
  <c r="AF33" i="1"/>
  <c r="AN33" i="1"/>
  <c r="AV33" i="1"/>
  <c r="R33" i="1"/>
  <c r="Z33" i="1"/>
  <c r="AH33" i="1"/>
  <c r="AP33" i="1"/>
  <c r="AX33" i="1"/>
  <c r="S33" i="1"/>
  <c r="AA33" i="1"/>
  <c r="AI33" i="1"/>
  <c r="AQ33" i="1"/>
  <c r="AY33" i="1"/>
  <c r="T33" i="1"/>
  <c r="AB33" i="1"/>
  <c r="AJ33" i="1"/>
  <c r="AR33" i="1"/>
  <c r="AZ33" i="1"/>
  <c r="V33" i="1"/>
  <c r="AD33" i="1"/>
  <c r="AL33" i="1"/>
  <c r="AT33" i="1"/>
  <c r="BB33" i="1"/>
  <c r="W33" i="1"/>
  <c r="AE33" i="1"/>
  <c r="AM33" i="1"/>
  <c r="AU33" i="1"/>
  <c r="BC33" i="1"/>
  <c r="AW33" i="1"/>
  <c r="P33" i="1"/>
  <c r="U33" i="1"/>
  <c r="BA33" i="1"/>
  <c r="Y33" i="1"/>
  <c r="AC33" i="1"/>
  <c r="AG33" i="1"/>
  <c r="AK33" i="1"/>
  <c r="AO33" i="1"/>
  <c r="AS33" i="1"/>
  <c r="R42" i="1"/>
  <c r="S42" i="1"/>
  <c r="V42" i="1"/>
  <c r="W42" i="1"/>
  <c r="Z42" i="1"/>
  <c r="AH42" i="1"/>
  <c r="AP42" i="1"/>
  <c r="AX42" i="1"/>
  <c r="AA42" i="1"/>
  <c r="AI42" i="1"/>
  <c r="AQ42" i="1"/>
  <c r="AY42" i="1"/>
  <c r="AB42" i="1"/>
  <c r="AJ42" i="1"/>
  <c r="AR42" i="1"/>
  <c r="AZ42" i="1"/>
  <c r="Q42" i="1"/>
  <c r="AC42" i="1"/>
  <c r="AK42" i="1"/>
  <c r="AS42" i="1"/>
  <c r="BA42" i="1"/>
  <c r="T42" i="1"/>
  <c r="AD42" i="1"/>
  <c r="AL42" i="1"/>
  <c r="AT42" i="1"/>
  <c r="BB42" i="1"/>
  <c r="U42" i="1"/>
  <c r="AE42" i="1"/>
  <c r="AM42" i="1"/>
  <c r="AU42" i="1"/>
  <c r="BC42" i="1"/>
  <c r="P42" i="1"/>
  <c r="X42" i="1"/>
  <c r="AF42" i="1"/>
  <c r="AN42" i="1"/>
  <c r="AV42" i="1"/>
  <c r="Y42" i="1"/>
  <c r="AG42" i="1"/>
  <c r="AO42" i="1"/>
  <c r="AW42" i="1"/>
  <c r="V53" i="1"/>
  <c r="AD53" i="1"/>
  <c r="AL53" i="1"/>
  <c r="AT53" i="1"/>
  <c r="BB53" i="1"/>
  <c r="W53" i="1"/>
  <c r="AE53" i="1"/>
  <c r="AM53" i="1"/>
  <c r="AU53" i="1"/>
  <c r="BC53" i="1"/>
  <c r="X53" i="1"/>
  <c r="AF53" i="1"/>
  <c r="AN53" i="1"/>
  <c r="AV53" i="1"/>
  <c r="Q53" i="1"/>
  <c r="Y53" i="1"/>
  <c r="AG53" i="1"/>
  <c r="AO53" i="1"/>
  <c r="AW53" i="1"/>
  <c r="R53" i="1"/>
  <c r="Z53" i="1"/>
  <c r="AH53" i="1"/>
  <c r="AP53" i="1"/>
  <c r="AX53" i="1"/>
  <c r="S53" i="1"/>
  <c r="AA53" i="1"/>
  <c r="AI53" i="1"/>
  <c r="AQ53" i="1"/>
  <c r="AY53" i="1"/>
  <c r="T53" i="1"/>
  <c r="AB53" i="1"/>
  <c r="AJ53" i="1"/>
  <c r="AR53" i="1"/>
  <c r="AZ53" i="1"/>
  <c r="AC53" i="1"/>
  <c r="AK53" i="1"/>
  <c r="P53" i="1"/>
  <c r="BA53" i="1"/>
  <c r="AS53" i="1"/>
  <c r="U53" i="1"/>
  <c r="R26" i="4"/>
  <c r="F11" i="3" s="1"/>
  <c r="AH26" i="4"/>
  <c r="V11" i="3" s="1"/>
  <c r="S24" i="4"/>
  <c r="S26" i="4" s="1"/>
  <c r="G11" i="3" s="1"/>
  <c r="AL24" i="4"/>
  <c r="AL26" i="4" s="1"/>
  <c r="Z11" i="3" s="1"/>
  <c r="AM24" i="4"/>
  <c r="AM26" i="4" s="1"/>
  <c r="AA11" i="3" s="1"/>
  <c r="W24" i="4"/>
  <c r="W26" i="4" s="1"/>
  <c r="K11" i="3" s="1"/>
  <c r="U24" i="4"/>
  <c r="U26" i="4" s="1"/>
  <c r="I11" i="3" s="1"/>
  <c r="AZ24" i="4"/>
  <c r="AZ26" i="4" s="1"/>
  <c r="Q24" i="4"/>
  <c r="Q26" i="4" s="1"/>
  <c r="E11" i="3" s="1"/>
  <c r="AV24" i="4"/>
  <c r="AV26" i="4" s="1"/>
  <c r="AP24" i="4"/>
  <c r="AP26" i="4" s="1"/>
  <c r="AD11" i="3" s="1"/>
  <c r="AC24" i="4"/>
  <c r="AC26" i="4" s="1"/>
  <c r="Q11" i="3" s="1"/>
  <c r="BA24" i="4"/>
  <c r="BA26" i="4" s="1"/>
  <c r="AF24" i="4"/>
  <c r="AF26" i="4" s="1"/>
  <c r="T11" i="3" s="1"/>
  <c r="T24" i="4"/>
  <c r="T26" i="4" s="1"/>
  <c r="H11" i="3" s="1"/>
  <c r="AT24" i="4"/>
  <c r="AT26" i="4" s="1"/>
  <c r="AW24" i="4"/>
  <c r="AW26" i="4" s="1"/>
  <c r="AR24" i="4"/>
  <c r="AR26" i="4" s="1"/>
  <c r="V24" i="4"/>
  <c r="V26" i="4" s="1"/>
  <c r="J11" i="3" s="1"/>
  <c r="AG24" i="4"/>
  <c r="AG26" i="4" s="1"/>
  <c r="U11" i="3" s="1"/>
  <c r="Y24" i="4"/>
  <c r="Y26" i="4" s="1"/>
  <c r="M11" i="3" s="1"/>
  <c r="N24" i="4"/>
  <c r="N26" i="4" s="1"/>
  <c r="AN24" i="4"/>
  <c r="AN26" i="4" s="1"/>
  <c r="AB11" i="3" s="1"/>
  <c r="AU24" i="4"/>
  <c r="AU26" i="4" s="1"/>
  <c r="AE24" i="4"/>
  <c r="AE26" i="4" s="1"/>
  <c r="S11" i="3" s="1"/>
  <c r="AD24" i="4"/>
  <c r="AD26" i="4" s="1"/>
  <c r="R11" i="3" s="1"/>
  <c r="AS24" i="4"/>
  <c r="AS26" i="4" s="1"/>
  <c r="AG14" i="3" l="1"/>
  <c r="AN20" i="1"/>
  <c r="T45" i="1"/>
  <c r="Z20" i="1"/>
  <c r="AZ32" i="1"/>
  <c r="AT45" i="1"/>
  <c r="S59" i="1"/>
  <c r="AN59" i="1"/>
  <c r="AD20" i="1"/>
  <c r="R20" i="1"/>
  <c r="AF20" i="1"/>
  <c r="AB20" i="1"/>
  <c r="AJ20" i="1"/>
  <c r="AS20" i="1"/>
  <c r="AC45" i="1"/>
  <c r="AV20" i="1"/>
  <c r="AI20" i="1"/>
  <c r="AP20" i="1"/>
  <c r="U20" i="1"/>
  <c r="AW45" i="1"/>
  <c r="R59" i="1"/>
  <c r="BB59" i="1"/>
  <c r="AQ20" i="1"/>
  <c r="V20" i="1"/>
  <c r="AW20" i="1"/>
  <c r="AH45" i="1"/>
  <c r="AC59" i="1"/>
  <c r="AM20" i="1"/>
  <c r="BA20" i="1"/>
  <c r="AA20" i="1"/>
  <c r="AO20" i="1"/>
  <c r="AZ45" i="1"/>
  <c r="Q20" i="1"/>
  <c r="AT20" i="1"/>
  <c r="AH20" i="1"/>
  <c r="AK45" i="1"/>
  <c r="Q45" i="1"/>
  <c r="AL45" i="1"/>
  <c r="AY45" i="1"/>
  <c r="Z45" i="1"/>
  <c r="AI59" i="1"/>
  <c r="AF59" i="1"/>
  <c r="AT59" i="1"/>
  <c r="U59" i="1"/>
  <c r="X32" i="1"/>
  <c r="AX32" i="1"/>
  <c r="Y32" i="1"/>
  <c r="AT32" i="1"/>
  <c r="U32" i="1"/>
  <c r="X20" i="1"/>
  <c r="T59" i="1"/>
  <c r="AU20" i="1"/>
  <c r="AM32" i="1"/>
  <c r="AR32" i="1"/>
  <c r="BB32" i="1"/>
  <c r="AG45" i="1"/>
  <c r="BC45" i="1"/>
  <c r="AD45" i="1"/>
  <c r="AQ45" i="1"/>
  <c r="R45" i="1"/>
  <c r="AY59" i="1"/>
  <c r="AW59" i="1"/>
  <c r="X59" i="1"/>
  <c r="AL59" i="1"/>
  <c r="AP32" i="1"/>
  <c r="Q32" i="1"/>
  <c r="AL32" i="1"/>
  <c r="AY32" i="1"/>
  <c r="AE20" i="1"/>
  <c r="AE32" i="1"/>
  <c r="AJ32" i="1"/>
  <c r="AO45" i="1"/>
  <c r="AC32" i="1"/>
  <c r="AB59" i="1"/>
  <c r="AU45" i="1"/>
  <c r="V45" i="1"/>
  <c r="AI45" i="1"/>
  <c r="AV45" i="1"/>
  <c r="AQ59" i="1"/>
  <c r="AO59" i="1"/>
  <c r="BC59" i="1"/>
  <c r="AD59" i="1"/>
  <c r="AH32" i="1"/>
  <c r="AD32" i="1"/>
  <c r="AQ32" i="1"/>
  <c r="S20" i="1"/>
  <c r="AG20" i="1"/>
  <c r="AZ20" i="1"/>
  <c r="W32" i="1"/>
  <c r="AB32" i="1"/>
  <c r="AG32" i="1"/>
  <c r="Y45" i="1"/>
  <c r="AM45" i="1"/>
  <c r="AA45" i="1"/>
  <c r="AN45" i="1"/>
  <c r="AX59" i="1"/>
  <c r="AG59" i="1"/>
  <c r="AU59" i="1"/>
  <c r="V59" i="1"/>
  <c r="AV32" i="1"/>
  <c r="Z32" i="1"/>
  <c r="V32" i="1"/>
  <c r="AI32" i="1"/>
  <c r="AK20" i="1"/>
  <c r="AX20" i="1"/>
  <c r="Y20" i="1"/>
  <c r="BC20" i="1"/>
  <c r="T20" i="1"/>
  <c r="T32" i="1"/>
  <c r="BA45" i="1"/>
  <c r="AE45" i="1"/>
  <c r="AR45" i="1"/>
  <c r="S45" i="1"/>
  <c r="AF45" i="1"/>
  <c r="AP59" i="1"/>
  <c r="Y59" i="1"/>
  <c r="AM59" i="1"/>
  <c r="BA59" i="1"/>
  <c r="R32" i="1"/>
  <c r="BA32" i="1"/>
  <c r="AA32" i="1"/>
  <c r="BB20" i="1"/>
  <c r="AC20" i="1"/>
  <c r="AZ59" i="1"/>
  <c r="W20" i="1"/>
  <c r="U45" i="1"/>
  <c r="W45" i="1"/>
  <c r="AJ45" i="1"/>
  <c r="AX45" i="1"/>
  <c r="X45" i="1"/>
  <c r="AH59" i="1"/>
  <c r="Q59" i="1"/>
  <c r="AE59" i="1"/>
  <c r="AS59" i="1"/>
  <c r="AW32" i="1"/>
  <c r="AS32" i="1"/>
  <c r="S32" i="1"/>
  <c r="AR59" i="1"/>
  <c r="AR20" i="1"/>
  <c r="AU32" i="1"/>
  <c r="AS45" i="1"/>
  <c r="BB45" i="1"/>
  <c r="AB45" i="1"/>
  <c r="AP45" i="1"/>
  <c r="AA59" i="1"/>
  <c r="Z59" i="1"/>
  <c r="AV59" i="1"/>
  <c r="W59" i="1"/>
  <c r="AK59" i="1"/>
  <c r="AF32" i="1"/>
  <c r="AN32" i="1"/>
  <c r="AO32" i="1"/>
  <c r="AK32" i="1"/>
  <c r="AL20" i="1"/>
  <c r="AY20" i="1"/>
  <c r="AJ59" i="1"/>
  <c r="BC32" i="1"/>
  <c r="AG11" i="3"/>
  <c r="AN67" i="1"/>
  <c r="T67" i="1"/>
  <c r="P59" i="1"/>
  <c r="Y67" i="1"/>
  <c r="R67" i="1"/>
  <c r="AB67" i="1"/>
  <c r="AM67" i="1"/>
  <c r="AG67" i="1"/>
  <c r="Z67" i="1"/>
  <c r="S67" i="1"/>
  <c r="Q67" i="1"/>
  <c r="X67" i="1"/>
  <c r="AV67" i="1"/>
  <c r="W67" i="1"/>
  <c r="AW67" i="1"/>
  <c r="AC67" i="1"/>
  <c r="AR67" i="1"/>
  <c r="BC67" i="1"/>
  <c r="AF67" i="1"/>
  <c r="AH67" i="1"/>
  <c r="AX67" i="1"/>
  <c r="AA67" i="1"/>
  <c r="AK67" i="1"/>
  <c r="AD67" i="1"/>
  <c r="AI67" i="1"/>
  <c r="AS67" i="1"/>
  <c r="AL67" i="1"/>
  <c r="AO67" i="1"/>
  <c r="U67" i="1"/>
  <c r="AP67" i="1"/>
  <c r="V67" i="1"/>
  <c r="AQ67" i="1"/>
  <c r="BA67" i="1"/>
  <c r="AT67" i="1"/>
  <c r="AJ67" i="1"/>
  <c r="AZ67" i="1"/>
  <c r="AU67" i="1"/>
  <c r="P67" i="1"/>
  <c r="AY67" i="1"/>
  <c r="BB67" i="1"/>
  <c r="AE67" i="1"/>
  <c r="P32" i="1"/>
  <c r="P45" i="1"/>
  <c r="P20" i="1"/>
  <c r="AM68" i="1" l="1"/>
  <c r="Y68" i="1"/>
  <c r="AE68" i="1"/>
  <c r="R68" i="1"/>
  <c r="U68" i="1"/>
  <c r="AO68" i="1"/>
  <c r="AX68" i="1"/>
  <c r="AZ68" i="1"/>
  <c r="X68" i="1"/>
  <c r="X71" i="1" s="1"/>
  <c r="X73" i="1" s="1"/>
  <c r="I13" i="3" s="1"/>
  <c r="I15" i="3" s="1"/>
  <c r="AV68" i="1"/>
  <c r="AV71" i="1" s="1"/>
  <c r="AV73" i="1" s="1"/>
  <c r="AN68" i="1"/>
  <c r="AN71" i="1" s="1"/>
  <c r="AN73" i="1" s="1"/>
  <c r="Y13" i="3" s="1"/>
  <c r="Y15" i="3" s="1"/>
  <c r="BA68" i="1"/>
  <c r="Z68" i="1"/>
  <c r="AI68" i="1"/>
  <c r="AW68" i="1"/>
  <c r="AA68" i="1"/>
  <c r="S68" i="1"/>
  <c r="AU68" i="1"/>
  <c r="AK68" i="1"/>
  <c r="AJ68" i="1"/>
  <c r="AL68" i="1"/>
  <c r="AL71" i="1" s="1"/>
  <c r="AL73" i="1" s="1"/>
  <c r="W13" i="3" s="1"/>
  <c r="W15" i="3" s="1"/>
  <c r="AF68" i="1"/>
  <c r="AF71" i="1" s="1"/>
  <c r="AF73" i="1" s="1"/>
  <c r="Q13" i="3" s="1"/>
  <c r="Q15" i="3" s="1"/>
  <c r="Q68" i="1"/>
  <c r="AH68" i="1"/>
  <c r="AH71" i="1" s="1"/>
  <c r="AH73" i="1" s="1"/>
  <c r="S13" i="3" s="1"/>
  <c r="S15" i="3" s="1"/>
  <c r="AT68" i="1"/>
  <c r="AT71" i="1" s="1"/>
  <c r="AT73" i="1" s="1"/>
  <c r="AE13" i="3" s="1"/>
  <c r="AE15" i="3" s="1"/>
  <c r="AS68" i="1"/>
  <c r="BC68" i="1"/>
  <c r="BC71" i="1" s="1"/>
  <c r="BC73" i="1" s="1"/>
  <c r="T68" i="1"/>
  <c r="AR68" i="1"/>
  <c r="BB68" i="1"/>
  <c r="BB71" i="1" s="1"/>
  <c r="BB73" i="1" s="1"/>
  <c r="AQ68" i="1"/>
  <c r="AD68" i="1"/>
  <c r="AC68" i="1"/>
  <c r="AG68" i="1"/>
  <c r="AG71" i="1" s="1"/>
  <c r="AG73" i="1" s="1"/>
  <c r="R13" i="3" s="1"/>
  <c r="R15" i="3" s="1"/>
  <c r="AY68" i="1"/>
  <c r="V68" i="1"/>
  <c r="V71" i="1" s="1"/>
  <c r="V73" i="1" s="1"/>
  <c r="G13" i="3" s="1"/>
  <c r="G15" i="3" s="1"/>
  <c r="P68" i="1"/>
  <c r="P71" i="1" s="1"/>
  <c r="P73" i="1" s="1"/>
  <c r="AP68" i="1"/>
  <c r="AP71" i="1" s="1"/>
  <c r="AP73" i="1" s="1"/>
  <c r="AA13" i="3" s="1"/>
  <c r="AA15" i="3" s="1"/>
  <c r="W68" i="1"/>
  <c r="AB68" i="1"/>
  <c r="AW71" i="1" l="1"/>
  <c r="AW73" i="1" s="1"/>
  <c r="AY71" i="1"/>
  <c r="AY73" i="1" s="1"/>
  <c r="AZ71" i="1"/>
  <c r="AZ73" i="1" s="1"/>
  <c r="Y71" i="1"/>
  <c r="Y73" i="1" s="1"/>
  <c r="J13" i="3" s="1"/>
  <c r="J15" i="3" s="1"/>
  <c r="AB71" i="1"/>
  <c r="AB73" i="1" s="1"/>
  <c r="M13" i="3" s="1"/>
  <c r="M15" i="3" s="1"/>
  <c r="R71" i="1"/>
  <c r="R73" i="1" s="1"/>
  <c r="AD71" i="1"/>
  <c r="AD73" i="1" s="1"/>
  <c r="O13" i="3" s="1"/>
  <c r="O15" i="3" s="1"/>
  <c r="AU71" i="1"/>
  <c r="AU73" i="1" s="1"/>
  <c r="AF13" i="3" s="1"/>
  <c r="AF15" i="3" s="1"/>
  <c r="Z71" i="1"/>
  <c r="Z73" i="1" s="1"/>
  <c r="K13" i="3" s="1"/>
  <c r="K15" i="3" s="1"/>
  <c r="AM71" i="1"/>
  <c r="AM73" i="1" s="1"/>
  <c r="X13" i="3" s="1"/>
  <c r="X15" i="3" s="1"/>
  <c r="BA71" i="1"/>
  <c r="BA73" i="1" s="1"/>
  <c r="AX71" i="1"/>
  <c r="AX73" i="1" s="1"/>
  <c r="AA71" i="1"/>
  <c r="AA73" i="1" s="1"/>
  <c r="L13" i="3" s="1"/>
  <c r="L15" i="3" s="1"/>
  <c r="U71" i="1"/>
  <c r="U73" i="1" s="1"/>
  <c r="F13" i="3" s="1"/>
  <c r="F15" i="3" s="1"/>
  <c r="AO71" i="1"/>
  <c r="AO73" i="1" s="1"/>
  <c r="Z13" i="3" s="1"/>
  <c r="Z15" i="3" s="1"/>
  <c r="S71" i="1"/>
  <c r="S73" i="1" s="1"/>
  <c r="D13" i="3" s="1"/>
  <c r="D15" i="3" s="1"/>
  <c r="AS71" i="1"/>
  <c r="AS73" i="1" s="1"/>
  <c r="AD13" i="3" s="1"/>
  <c r="AD15" i="3" s="1"/>
  <c r="Q71" i="1"/>
  <c r="Q73" i="1" s="1"/>
  <c r="W71" i="1"/>
  <c r="W73" i="1" s="1"/>
  <c r="H13" i="3" s="1"/>
  <c r="H15" i="3" s="1"/>
  <c r="AQ71" i="1"/>
  <c r="AQ73" i="1" s="1"/>
  <c r="AB13" i="3" s="1"/>
  <c r="AB15" i="3" s="1"/>
  <c r="AR71" i="1"/>
  <c r="AR73" i="1" s="1"/>
  <c r="AC13" i="3" s="1"/>
  <c r="AC15" i="3" s="1"/>
  <c r="AJ71" i="1"/>
  <c r="AJ73" i="1" s="1"/>
  <c r="U13" i="3" s="1"/>
  <c r="U15" i="3" s="1"/>
  <c r="AC71" i="1"/>
  <c r="AC73" i="1" s="1"/>
  <c r="N13" i="3" s="1"/>
  <c r="N15" i="3" s="1"/>
  <c r="T71" i="1"/>
  <c r="T73" i="1" s="1"/>
  <c r="E13" i="3" s="1"/>
  <c r="E15" i="3" s="1"/>
  <c r="AK71" i="1"/>
  <c r="AK73" i="1" s="1"/>
  <c r="V13" i="3" s="1"/>
  <c r="V15" i="3" s="1"/>
  <c r="AE71" i="1"/>
  <c r="AE73" i="1" s="1"/>
  <c r="P13" i="3" s="1"/>
  <c r="P15" i="3" s="1"/>
  <c r="AI71" i="1"/>
  <c r="AI73" i="1" s="1"/>
  <c r="T13" i="3" s="1"/>
  <c r="T15" i="3" s="1"/>
  <c r="C15" i="3" l="1"/>
  <c r="C18" i="3" s="1"/>
  <c r="C19" i="3" s="1"/>
  <c r="C21" i="3" s="1"/>
  <c r="C52" i="3"/>
  <c r="C54" i="3" s="1"/>
  <c r="C56" i="3" s="1"/>
  <c r="C66" i="3" s="1"/>
  <c r="C68" i="3" s="1"/>
  <c r="C70" i="3" s="1"/>
  <c r="AG13" i="3" l="1"/>
  <c r="AG15" i="3" s="1"/>
  <c r="C35" i="3"/>
  <c r="C22" i="3"/>
  <c r="C23" i="3" s="1"/>
  <c r="C24" i="3" s="1"/>
  <c r="C25" i="3" s="1"/>
  <c r="C27" i="3" s="1"/>
  <c r="C29" i="3" s="1"/>
  <c r="C31" i="3" s="1"/>
  <c r="C36" i="3" l="1"/>
  <c r="C37" i="3" s="1"/>
  <c r="C39" i="3" s="1"/>
  <c r="C42" i="3"/>
  <c r="C44" i="3" s="1"/>
  <c r="C4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Rik Bouten</author>
    <author>tc={79A68E1F-2B16-48C0-B518-30C364306B5C}</author>
  </authors>
  <commentList>
    <comment ref="J10" authorId="0" shapeId="0" xr:uid="{7FDF4BC8-A60B-498B-BB66-04ED74E7B605}">
      <text>
        <r>
          <rPr>
            <b/>
            <sz val="9"/>
            <color indexed="81"/>
            <rFont val="Tahoma"/>
            <family val="2"/>
          </rPr>
          <t>Rik Bouten:</t>
        </r>
        <r>
          <rPr>
            <sz val="9"/>
            <color indexed="81"/>
            <rFont val="Tahoma"/>
            <family val="2"/>
          </rPr>
          <t xml:space="preserve">
Verwijzen naar prijzenbestand aanleg en renovatie. </t>
        </r>
      </text>
    </comment>
    <comment ref="L10" authorId="0" shapeId="0" xr:uid="{96C2B5DA-A4A5-4722-9E2D-C9F6B64797C5}">
      <text>
        <r>
          <rPr>
            <b/>
            <sz val="9"/>
            <color indexed="81"/>
            <rFont val="Tahoma"/>
            <family val="2"/>
          </rPr>
          <t>Rik Bouten:</t>
        </r>
        <r>
          <rPr>
            <sz val="9"/>
            <color indexed="81"/>
            <rFont val="Tahoma"/>
            <family val="2"/>
          </rPr>
          <t xml:space="preserve">
Evt. handmatig aanpassen n.a.v. bijvoorbeeld de inspectie.</t>
        </r>
      </text>
    </comment>
    <comment ref="M10" authorId="1" shapeId="0" xr:uid="{79A68E1F-2B16-48C0-B518-30C364306B5C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Opmerking Constantia: Waar zijn hoeveelheden op gebaseerd. klopt namelijk niet. 
Gebaseerd op hoeveelheden die zijn aangetroffen in het veld
</t>
      </text>
    </comment>
  </commentList>
</comments>
</file>

<file path=xl/sharedStrings.xml><?xml version="1.0" encoding="utf-8"?>
<sst xmlns="http://schemas.openxmlformats.org/spreadsheetml/2006/main" count="700" uniqueCount="243">
  <si>
    <t>Opdrachtgever:</t>
  </si>
  <si>
    <t>Gemeente Land van Cuijk</t>
  </si>
  <si>
    <t xml:space="preserve">Gemeente </t>
  </si>
  <si>
    <t>A</t>
  </si>
  <si>
    <t>Project:</t>
  </si>
  <si>
    <t>Privatiseringsmodel</t>
  </si>
  <si>
    <t>Vereniging</t>
  </si>
  <si>
    <t>B</t>
  </si>
  <si>
    <t>Projectnummer:</t>
  </si>
  <si>
    <t>22NW75510</t>
  </si>
  <si>
    <t>Stichting</t>
  </si>
  <si>
    <t>C</t>
  </si>
  <si>
    <t>Datum:</t>
  </si>
  <si>
    <t>Korte termijn</t>
  </si>
  <si>
    <t>Middellange termijn</t>
  </si>
  <si>
    <t>Lange termijn</t>
  </si>
  <si>
    <t>Nr.</t>
  </si>
  <si>
    <t>Veldtype</t>
  </si>
  <si>
    <t>Inrichtingselementen</t>
  </si>
  <si>
    <t>Kwaliteit</t>
  </si>
  <si>
    <t>Jaar van aanleg / renovatie</t>
  </si>
  <si>
    <t>Type renovatie</t>
  </si>
  <si>
    <t>Renovatie-termijn</t>
  </si>
  <si>
    <t>Reguliere planning</t>
  </si>
  <si>
    <t>Geplande renovatie</t>
  </si>
  <si>
    <t>Hoeveelheid</t>
  </si>
  <si>
    <t>Renovatiekosten</t>
  </si>
  <si>
    <t>Eenheid</t>
  </si>
  <si>
    <t>Lichte toplaag renovatie natuurgras</t>
  </si>
  <si>
    <t>Gemeente</t>
  </si>
  <si>
    <t>Toplaagrenovatie</t>
  </si>
  <si>
    <t>m2</t>
  </si>
  <si>
    <t>st</t>
  </si>
  <si>
    <t>Vervanging</t>
  </si>
  <si>
    <t>Doel voetbal (p-doel)</t>
  </si>
  <si>
    <t>Doelnet voetbal senioren</t>
  </si>
  <si>
    <t>Dug-out 4,00m</t>
  </si>
  <si>
    <t>Buis leunhekwerk gecoat</t>
  </si>
  <si>
    <t>m1</t>
  </si>
  <si>
    <t>Ballenvanger hoogte: 5,00m (2,00m staafmat 3,00m net) gecoat</t>
  </si>
  <si>
    <t>Net ballenvanger</t>
  </si>
  <si>
    <t>Automatische beregening voetbal</t>
  </si>
  <si>
    <t>Verlichting masten</t>
  </si>
  <si>
    <t>Verlichting, vervangen armatuur led</t>
  </si>
  <si>
    <t>Dug-out 3,00m</t>
  </si>
  <si>
    <t>Staafmat hekwerk</t>
  </si>
  <si>
    <t>Overige inrichting</t>
  </si>
  <si>
    <t>Beregeningsbron, pomp en kabels en leidingen</t>
  </si>
  <si>
    <t>Terreinafrastering</t>
  </si>
  <si>
    <t>m</t>
  </si>
  <si>
    <t>Groen (gras)</t>
  </si>
  <si>
    <t>Accommodatieoverzicht</t>
  </si>
  <si>
    <t>Vereniging:</t>
  </si>
  <si>
    <t>WVV Constantia</t>
  </si>
  <si>
    <t>Hagen</t>
  </si>
  <si>
    <t>Elementenverharding</t>
  </si>
  <si>
    <t>Gefinancierd door:</t>
  </si>
  <si>
    <t>Ballenvanger hoogte: 5,00m (5,00m net) verzinkt</t>
  </si>
  <si>
    <t>Gaashekwerk (1,50m) gecoat</t>
  </si>
  <si>
    <t>Uitgangspunten:</t>
  </si>
  <si>
    <t>Percentage efficiency korting</t>
  </si>
  <si>
    <t>Percentage fictieve huurpercentage voetbal</t>
  </si>
  <si>
    <t>Kapitaalslast gebouw en buitenruimte incl. btw en U,A,W&amp;R</t>
  </si>
  <si>
    <t>Onderhoudslast gebouw en buitenruimte incl. btw</t>
  </si>
  <si>
    <t>Rente</t>
  </si>
  <si>
    <t>Totaal:</t>
  </si>
  <si>
    <t>Kapitaalslast gebouw</t>
  </si>
  <si>
    <t>Onderhoudslast gebouw</t>
  </si>
  <si>
    <t>Kapitaalslast buitenruimte</t>
  </si>
  <si>
    <t>Onderhoudslast buitenruimte</t>
  </si>
  <si>
    <t>Privatisering met instandhoudingsbijdrage</t>
  </si>
  <si>
    <t>Jaarlijkse gemiddelde exploitatielast</t>
  </si>
  <si>
    <t xml:space="preserve">Minus te berekenen huurprijs </t>
  </si>
  <si>
    <t>Bruto jaarlijkse instandhoudingsbijdrage</t>
  </si>
  <si>
    <t>Minus efficiency-korting</t>
  </si>
  <si>
    <t>Netto jaarlijkse instandhoudingsbijdrage</t>
  </si>
  <si>
    <t>Huur</t>
  </si>
  <si>
    <t>Minus netto jaarlijkse instandhoudingsbijdrage</t>
  </si>
  <si>
    <t>Netto jaarlijkse huurprijs</t>
  </si>
  <si>
    <t>Harde privatisering met eenmalige bijdrage</t>
  </si>
  <si>
    <t>Netto jaarlijkse instandhoudingsbijdrage voor 30 jaar</t>
  </si>
  <si>
    <t>Directe kosten</t>
  </si>
  <si>
    <t>Eenmalige bijdrage</t>
  </si>
  <si>
    <t>Onvoorzien</t>
  </si>
  <si>
    <t>Totaal</t>
  </si>
  <si>
    <t>totaal</t>
  </si>
  <si>
    <t>Natuurgras wedstrijdveld</t>
  </si>
  <si>
    <t>Drainage</t>
  </si>
  <si>
    <t>WVV Constantia buitenruimte</t>
  </si>
  <si>
    <t>Dagelijks-/wekelijksonderhoud</t>
  </si>
  <si>
    <t>Taken gemeente</t>
  </si>
  <si>
    <t>Taken vereniging</t>
  </si>
  <si>
    <t>Maaien</t>
  </si>
  <si>
    <t>Herstel speelschade</t>
  </si>
  <si>
    <t>Vegen</t>
  </si>
  <si>
    <t>Bladruimen</t>
  </si>
  <si>
    <t>Rollen</t>
  </si>
  <si>
    <t>Verwijderen vuil/afval</t>
  </si>
  <si>
    <t>Slepen</t>
  </si>
  <si>
    <t>Wiedeggen</t>
  </si>
  <si>
    <t>Beluchten</t>
  </si>
  <si>
    <t>Dressen</t>
  </si>
  <si>
    <t>Afsteken graskanten</t>
  </si>
  <si>
    <t>Beregenen</t>
  </si>
  <si>
    <t>Ongedierte bestrijding</t>
  </si>
  <si>
    <t>Bemesten</t>
  </si>
  <si>
    <t>Inspectie</t>
  </si>
  <si>
    <t>Grootonderhoud</t>
  </si>
  <si>
    <t>Bezanden</t>
  </si>
  <si>
    <t>Belijnen</t>
  </si>
  <si>
    <t>Doorzaaien</t>
  </si>
  <si>
    <t>Recycledressen</t>
  </si>
  <si>
    <t>Afschrapen toplaag</t>
  </si>
  <si>
    <t>Kortmaaien</t>
  </si>
  <si>
    <t>Onderhoud drainage</t>
  </si>
  <si>
    <t>Onderhoud beregening</t>
  </si>
  <si>
    <t>Herstellen doelmonden</t>
  </si>
  <si>
    <t>Jaarlijkse kosten gemeente:</t>
  </si>
  <si>
    <t>Jaarlijkse kosten gemeente incl. btw*:</t>
  </si>
  <si>
    <t>* bedragen zijn afgerond op € 500 ,-</t>
  </si>
  <si>
    <t>Verwijderen vui/afval</t>
  </si>
  <si>
    <t>Onderhoud (per jaar)</t>
  </si>
  <si>
    <t>Dagelijks-/wekelijks en grootonderhoud</t>
  </si>
  <si>
    <t>m2:</t>
  </si>
  <si>
    <t>prijs per m2:</t>
  </si>
  <si>
    <t>Gras</t>
  </si>
  <si>
    <t>Jaarlijkse kosten:</t>
  </si>
  <si>
    <t>Jaarlijkse kosten incl. btw*:</t>
  </si>
  <si>
    <t>Nr:</t>
  </si>
  <si>
    <t>Onderdeel</t>
  </si>
  <si>
    <t>Gefinancieerd door:</t>
  </si>
  <si>
    <t>Jaar van aanleg / vervaning</t>
  </si>
  <si>
    <t>Vervanings-termijn</t>
  </si>
  <si>
    <t>Geplande vervaning</t>
  </si>
  <si>
    <t>Renovatie-kosten</t>
  </si>
  <si>
    <t>Renovatie-kosten incl. btw</t>
  </si>
  <si>
    <t>Constructieve onderbouw</t>
  </si>
  <si>
    <t>Constructieve bovenbouw</t>
  </si>
  <si>
    <t>Afbouw gevel</t>
  </si>
  <si>
    <t>D</t>
  </si>
  <si>
    <t>Afbouw daken en plafonds</t>
  </si>
  <si>
    <t>E</t>
  </si>
  <si>
    <t>Inbouw</t>
  </si>
  <si>
    <t>F</t>
  </si>
  <si>
    <t>Afwerking</t>
  </si>
  <si>
    <t>G</t>
  </si>
  <si>
    <t>W-installaties</t>
  </si>
  <si>
    <t>H</t>
  </si>
  <si>
    <t>E-installaties</t>
  </si>
  <si>
    <t>J</t>
  </si>
  <si>
    <t>Vaste inrichting</t>
  </si>
  <si>
    <t>Totaal per jaar</t>
  </si>
  <si>
    <t>onvoorzien</t>
  </si>
  <si>
    <t>Gebouw</t>
  </si>
  <si>
    <t>Correctief onderhoud</t>
  </si>
  <si>
    <t>Schoonmaak</t>
  </si>
  <si>
    <t>Preventief onderhoud</t>
  </si>
  <si>
    <t>Planmatig onderhoud</t>
  </si>
  <si>
    <t>per m2</t>
  </si>
  <si>
    <t>Jaarlijkse kosten gemeente incl btw*:</t>
  </si>
  <si>
    <t>* bedragen zijn afgerond op € 1 ,-</t>
  </si>
  <si>
    <t>Onderhoud Gebouw</t>
  </si>
  <si>
    <t>Jaarlijkse kosten onderhoud per m2</t>
  </si>
  <si>
    <t xml:space="preserve">totale oppervlakte kleedruimte </t>
  </si>
  <si>
    <t>Totale kosten onderhoud per jaar</t>
  </si>
  <si>
    <t>Basis-voorziening</t>
  </si>
  <si>
    <t>Ja</t>
  </si>
  <si>
    <t>Onderdelen</t>
  </si>
  <si>
    <t>4 kleedkamers incl. btw</t>
  </si>
  <si>
    <t>4 kleedkamers excl. btw</t>
  </si>
  <si>
    <t>Honk en softbal</t>
  </si>
  <si>
    <t>Hockey</t>
  </si>
  <si>
    <t>458m2</t>
  </si>
  <si>
    <t>115m2</t>
  </si>
  <si>
    <t>91 m2</t>
  </si>
  <si>
    <t>80m2</t>
  </si>
  <si>
    <t>o.b.v &gt;8 banen  incl. btw</t>
  </si>
  <si>
    <t>o.b.v &gt;8 banen excl. btw</t>
  </si>
  <si>
    <t>o.b.v 7 banen  incl. btw</t>
  </si>
  <si>
    <t>o.b.v 7 banen excl. btw</t>
  </si>
  <si>
    <t>o.b.v 4 banen  incl. btw</t>
  </si>
  <si>
    <t>o.b.v 4 banen excl. btw</t>
  </si>
  <si>
    <t>o.b.v 2 banen  incl. btw</t>
  </si>
  <si>
    <t>o.b.v 2 banen excl. btw</t>
  </si>
  <si>
    <t>Tennis</t>
  </si>
  <si>
    <t>634m2</t>
  </si>
  <si>
    <t>381m2</t>
  </si>
  <si>
    <t>282 m2</t>
  </si>
  <si>
    <t>207m2</t>
  </si>
  <si>
    <t>131m2</t>
  </si>
  <si>
    <t>12 kleedkamers incl. btw</t>
  </si>
  <si>
    <t>12 kleedkamers excl. btw</t>
  </si>
  <si>
    <t>10 kleedkamers incl. btw</t>
  </si>
  <si>
    <t>10 kleedkamers excl. btw</t>
  </si>
  <si>
    <t>8 kleedkamers incl. btw</t>
  </si>
  <si>
    <t>8 kleedkamers excl. btw</t>
  </si>
  <si>
    <t>6 kleedkamers incl. btw</t>
  </si>
  <si>
    <t>6 kleedkamers excl. btw</t>
  </si>
  <si>
    <t>2 kleedkamers incl. btw</t>
  </si>
  <si>
    <t>2 kleedkamers excl. btw</t>
  </si>
  <si>
    <t>Voetbal</t>
  </si>
  <si>
    <t>Contante waarde brutolasten gemeente per 01-01-2025</t>
  </si>
  <si>
    <t>Contante waarde brutolasten gemeente per 01-01-2026 (=31-12-2025) *</t>
  </si>
  <si>
    <t>indexering CPI september 2024</t>
  </si>
  <si>
    <t>Netto jaarlijkse instandhoudingsbijdrage incl. index</t>
  </si>
  <si>
    <t>Netto jaarlijkse huurprijs incl. index</t>
  </si>
  <si>
    <t>Eenmalige bijdrage incl. index</t>
  </si>
  <si>
    <t>1.1 NG voetbal hoofdveld</t>
  </si>
  <si>
    <t>Veld 1 (hoofdveld)</t>
  </si>
  <si>
    <t>Hoekvlaggen</t>
  </si>
  <si>
    <t>Natuurgras trainingsveld</t>
  </si>
  <si>
    <t>Nee</t>
  </si>
  <si>
    <t>1.1 NG voetbal wedstrijdveld</t>
  </si>
  <si>
    <t>1.1 NG voetbal trainingsveld</t>
  </si>
  <si>
    <t>Veld 3 (trainingsveld)</t>
  </si>
  <si>
    <t>Veld 4 (trainingsveld)</t>
  </si>
  <si>
    <t>Natuurgras hoofdveld</t>
  </si>
  <si>
    <t>Terreinafrastering (achterstallig)</t>
  </si>
  <si>
    <t>Hagen (achterstallig)</t>
  </si>
  <si>
    <t>indexering CPI september 2025</t>
  </si>
  <si>
    <t>indexering CPI september 2026</t>
  </si>
  <si>
    <t>Nulmeting</t>
  </si>
  <si>
    <t>Achterstallig onderhoud uitvoering door vereniging</t>
  </si>
  <si>
    <t>Achterstallige kosten buitenterrein</t>
  </si>
  <si>
    <t>Ten laste gemeente</t>
  </si>
  <si>
    <t>Achterstallige kosten gebouw</t>
  </si>
  <si>
    <t>Ten laste vereniging</t>
  </si>
  <si>
    <t>Totaal achterstallig</t>
  </si>
  <si>
    <t>Totaal achterstallig incl. index</t>
  </si>
  <si>
    <t>Directe kosten - uitvoering door vereniging</t>
  </si>
  <si>
    <t>Directe kosten incl .index</t>
  </si>
  <si>
    <t>onvoorzien 5%</t>
  </si>
  <si>
    <t>Investering 2024 en 2025 door gemeente voorafgaande aan privatisering</t>
  </si>
  <si>
    <t xml:space="preserve">&gt; verwijderd kapitaallasten </t>
  </si>
  <si>
    <t>veld 3  toplaag</t>
  </si>
  <si>
    <t>veld 3 drainaige</t>
  </si>
  <si>
    <t>&gt; minder directe kosten</t>
  </si>
  <si>
    <t xml:space="preserve">totaal: </t>
  </si>
  <si>
    <t xml:space="preserve">Totaal te ontvangen door vereniging </t>
  </si>
  <si>
    <t>Totaal nulmeting incl. index 2025</t>
  </si>
  <si>
    <t>Totaal nulmeting incl. index 2026</t>
  </si>
  <si>
    <t>Natuurgras wedstrijd/trainingsveld</t>
  </si>
  <si>
    <t>Veld 2 (wedstrijd/trainingsveld)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</si>
</sst>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-* #,##0_-;_-* #,##0\-;_-* &quot;-&quot;??_-;_-@_-"/>
    <numFmt numFmtId="166" formatCode="[$-413]d\ mmmm\ yyyy;@"/>
    <numFmt numFmtId="167" formatCode="&quot;€&quot;\ #,##0.00_-"/>
    <numFmt numFmtId="168" formatCode="[Blue]0.00000%"/>
    <numFmt numFmtId="169" formatCode="_ [$€-2]\ * #,##0.00_ ;_ [$€-2]\ * \-#,##0.00_ ;_ [$€-2]\ * &quot;-&quot;??_ ;_ @_ "/>
    <numFmt numFmtId="170" formatCode="&quot;€&quot;\ #,##0.00"/>
    <numFmt numFmtId="171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i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165" fontId="4" fillId="0" borderId="0" xfId="2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" fontId="4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2" borderId="3" xfId="0" applyFont="1" applyFill="1" applyBorder="1" applyAlignment="1">
      <alignment horizontal="left"/>
    </xf>
    <xf numFmtId="0" fontId="5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2" borderId="6" xfId="0" applyFont="1" applyFill="1" applyBorder="1" applyAlignment="1">
      <alignment horizontal="left"/>
    </xf>
    <xf numFmtId="0" fontId="4" fillId="2" borderId="6" xfId="0" quotePrefix="1" applyFont="1" applyFill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166" fontId="4" fillId="2" borderId="9" xfId="0" applyNumberFormat="1" applyFont="1" applyFill="1" applyBorder="1" applyAlignment="1">
      <alignment horizontal="left"/>
    </xf>
    <xf numFmtId="166" fontId="6" fillId="0" borderId="0" xfId="0" applyNumberFormat="1" applyFont="1"/>
    <xf numFmtId="165" fontId="7" fillId="0" borderId="0" xfId="2" applyNumberFormat="1" applyFont="1" applyFill="1" applyAlignment="1">
      <alignment horizontal="right"/>
    </xf>
    <xf numFmtId="166" fontId="7" fillId="0" borderId="0" xfId="0" applyNumberFormat="1" applyFont="1"/>
    <xf numFmtId="0" fontId="8" fillId="0" borderId="0" xfId="0" applyFont="1"/>
    <xf numFmtId="0" fontId="8" fillId="0" borderId="10" xfId="0" applyFont="1" applyBorder="1" applyAlignment="1">
      <alignment vertical="top"/>
    </xf>
    <xf numFmtId="0" fontId="8" fillId="0" borderId="10" xfId="0" applyFont="1" applyBorder="1"/>
    <xf numFmtId="0" fontId="8" fillId="0" borderId="10" xfId="0" applyFont="1" applyBorder="1" applyAlignment="1">
      <alignment horizontal="left"/>
    </xf>
    <xf numFmtId="165" fontId="8" fillId="0" borderId="10" xfId="2" applyNumberFormat="1" applyFont="1" applyFill="1" applyBorder="1" applyAlignment="1">
      <alignment horizontal="right"/>
    </xf>
    <xf numFmtId="0" fontId="8" fillId="0" borderId="11" xfId="0" applyFont="1" applyBorder="1"/>
    <xf numFmtId="0" fontId="4" fillId="0" borderId="12" xfId="0" applyFont="1" applyBorder="1"/>
    <xf numFmtId="0" fontId="8" fillId="0" borderId="13" xfId="0" applyFont="1" applyBorder="1"/>
    <xf numFmtId="0" fontId="8" fillId="0" borderId="12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167" fontId="8" fillId="0" borderId="14" xfId="0" applyNumberFormat="1" applyFont="1" applyBorder="1"/>
    <xf numFmtId="167" fontId="4" fillId="0" borderId="14" xfId="0" applyNumberFormat="1" applyFont="1" applyBorder="1"/>
    <xf numFmtId="167" fontId="4" fillId="0" borderId="15" xfId="0" applyNumberFormat="1" applyFont="1" applyBorder="1"/>
    <xf numFmtId="0" fontId="9" fillId="2" borderId="16" xfId="0" applyFont="1" applyFill="1" applyBorder="1" applyAlignment="1">
      <alignment horizontal="left"/>
    </xf>
    <xf numFmtId="0" fontId="9" fillId="2" borderId="17" xfId="0" applyFont="1" applyFill="1" applyBorder="1"/>
    <xf numFmtId="0" fontId="4" fillId="2" borderId="11" xfId="0" applyFont="1" applyFill="1" applyBorder="1"/>
    <xf numFmtId="0" fontId="4" fillId="2" borderId="11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left" wrapText="1"/>
    </xf>
    <xf numFmtId="165" fontId="4" fillId="2" borderId="11" xfId="2" applyNumberFormat="1" applyFont="1" applyFill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1" fontId="4" fillId="0" borderId="25" xfId="0" applyNumberFormat="1" applyFont="1" applyBorder="1" applyAlignment="1">
      <alignment horizontal="left"/>
    </xf>
    <xf numFmtId="44" fontId="4" fillId="2" borderId="25" xfId="1" applyFont="1" applyFill="1" applyBorder="1" applyAlignment="1">
      <alignment horizontal="right"/>
    </xf>
    <xf numFmtId="44" fontId="4" fillId="0" borderId="25" xfId="1" applyFont="1" applyBorder="1"/>
    <xf numFmtId="44" fontId="4" fillId="0" borderId="26" xfId="1" applyFont="1" applyBorder="1"/>
    <xf numFmtId="0" fontId="5" fillId="0" borderId="28" xfId="0" applyFont="1" applyBorder="1"/>
    <xf numFmtId="0" fontId="4" fillId="0" borderId="28" xfId="0" applyFont="1" applyBorder="1"/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1" fontId="4" fillId="0" borderId="32" xfId="0" applyNumberFormat="1" applyFont="1" applyBorder="1" applyAlignment="1">
      <alignment horizontal="left"/>
    </xf>
    <xf numFmtId="44" fontId="4" fillId="2" borderId="32" xfId="1" applyFont="1" applyFill="1" applyBorder="1" applyAlignment="1">
      <alignment horizontal="right"/>
    </xf>
    <xf numFmtId="44" fontId="4" fillId="0" borderId="30" xfId="1" applyFont="1" applyBorder="1"/>
    <xf numFmtId="44" fontId="4" fillId="0" borderId="32" xfId="1" applyFont="1" applyBorder="1"/>
    <xf numFmtId="44" fontId="4" fillId="0" borderId="33" xfId="1" applyFont="1" applyBorder="1"/>
    <xf numFmtId="0" fontId="4" fillId="0" borderId="35" xfId="0" applyFont="1" applyBorder="1"/>
    <xf numFmtId="0" fontId="5" fillId="0" borderId="36" xfId="0" applyFont="1" applyBorder="1"/>
    <xf numFmtId="0" fontId="5" fillId="0" borderId="29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4" fillId="0" borderId="41" xfId="0" applyFont="1" applyBorder="1"/>
    <xf numFmtId="0" fontId="4" fillId="0" borderId="41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44" fontId="4" fillId="2" borderId="44" xfId="1" applyFont="1" applyFill="1" applyBorder="1" applyAlignment="1">
      <alignment horizontal="right"/>
    </xf>
    <xf numFmtId="44" fontId="4" fillId="0" borderId="42" xfId="1" applyFont="1" applyBorder="1"/>
    <xf numFmtId="44" fontId="4" fillId="0" borderId="44" xfId="1" applyFont="1" applyBorder="1"/>
    <xf numFmtId="44" fontId="4" fillId="0" borderId="45" xfId="1" applyFont="1" applyBorder="1"/>
    <xf numFmtId="0" fontId="4" fillId="0" borderId="29" xfId="0" applyFont="1" applyBorder="1"/>
    <xf numFmtId="0" fontId="4" fillId="0" borderId="40" xfId="0" applyFont="1" applyBorder="1"/>
    <xf numFmtId="0" fontId="4" fillId="0" borderId="34" xfId="0" applyFont="1" applyBorder="1"/>
    <xf numFmtId="0" fontId="4" fillId="0" borderId="46" xfId="0" applyFont="1" applyBorder="1"/>
    <xf numFmtId="0" fontId="4" fillId="0" borderId="4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44" fontId="4" fillId="0" borderId="49" xfId="1" applyFont="1" applyBorder="1"/>
    <xf numFmtId="44" fontId="4" fillId="0" borderId="48" xfId="1" applyFont="1" applyBorder="1"/>
    <xf numFmtId="44" fontId="4" fillId="0" borderId="50" xfId="1" applyFont="1" applyBorder="1"/>
    <xf numFmtId="0" fontId="5" fillId="0" borderId="27" xfId="0" applyFont="1" applyBorder="1"/>
    <xf numFmtId="0" fontId="11" fillId="0" borderId="11" xfId="0" applyFont="1" applyBorder="1"/>
    <xf numFmtId="0" fontId="11" fillId="0" borderId="13" xfId="0" applyFont="1" applyBorder="1"/>
    <xf numFmtId="0" fontId="11" fillId="0" borderId="13" xfId="0" applyFont="1" applyBorder="1" applyAlignment="1">
      <alignment horizontal="left"/>
    </xf>
    <xf numFmtId="165" fontId="11" fillId="0" borderId="13" xfId="2" applyNumberFormat="1" applyFont="1" applyFill="1" applyBorder="1" applyAlignment="1">
      <alignment horizontal="right"/>
    </xf>
    <xf numFmtId="0" fontId="11" fillId="0" borderId="13" xfId="0" applyFont="1" applyBorder="1" applyAlignment="1">
      <alignment horizontal="right"/>
    </xf>
    <xf numFmtId="167" fontId="11" fillId="0" borderId="11" xfId="0" applyNumberFormat="1" applyFont="1" applyBorder="1" applyAlignment="1">
      <alignment horizontal="center"/>
    </xf>
    <xf numFmtId="167" fontId="11" fillId="0" borderId="52" xfId="0" applyNumberFormat="1" applyFont="1" applyBorder="1" applyAlignment="1">
      <alignment horizontal="center"/>
    </xf>
    <xf numFmtId="0" fontId="14" fillId="0" borderId="0" xfId="0" applyFont="1"/>
    <xf numFmtId="0" fontId="4" fillId="0" borderId="54" xfId="0" applyFont="1" applyBorder="1"/>
    <xf numFmtId="0" fontId="5" fillId="0" borderId="46" xfId="0" applyFont="1" applyBorder="1"/>
    <xf numFmtId="0" fontId="5" fillId="0" borderId="38" xfId="0" applyFont="1" applyBorder="1"/>
    <xf numFmtId="0" fontId="4" fillId="0" borderId="49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44" fontId="4" fillId="2" borderId="48" xfId="1" applyFont="1" applyFill="1" applyBorder="1" applyAlignment="1">
      <alignment horizontal="right"/>
    </xf>
    <xf numFmtId="0" fontId="4" fillId="0" borderId="56" xfId="0" applyFont="1" applyBorder="1"/>
    <xf numFmtId="0" fontId="4" fillId="0" borderId="57" xfId="0" applyFont="1" applyBorder="1"/>
    <xf numFmtId="0" fontId="4" fillId="0" borderId="53" xfId="0" applyFont="1" applyBorder="1"/>
    <xf numFmtId="0" fontId="4" fillId="0" borderId="53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1" fontId="4" fillId="0" borderId="60" xfId="0" applyNumberFormat="1" applyFont="1" applyBorder="1" applyAlignment="1">
      <alignment horizontal="left"/>
    </xf>
    <xf numFmtId="44" fontId="4" fillId="2" borderId="60" xfId="1" applyFont="1" applyFill="1" applyBorder="1" applyAlignment="1">
      <alignment horizontal="right"/>
    </xf>
    <xf numFmtId="44" fontId="4" fillId="0" borderId="60" xfId="1" applyFont="1" applyBorder="1"/>
    <xf numFmtId="44" fontId="4" fillId="0" borderId="61" xfId="1" applyFont="1" applyBorder="1"/>
    <xf numFmtId="0" fontId="14" fillId="0" borderId="0" xfId="0" applyFont="1" applyAlignment="1">
      <alignment horizontal="left"/>
    </xf>
    <xf numFmtId="0" fontId="4" fillId="2" borderId="52" xfId="0" applyFont="1" applyFill="1" applyBorder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11" fillId="0" borderId="52" xfId="0" applyFont="1" applyBorder="1" applyAlignment="1">
      <alignment horizontal="left"/>
    </xf>
    <xf numFmtId="0" fontId="4" fillId="0" borderId="62" xfId="0" applyFont="1" applyBorder="1"/>
    <xf numFmtId="0" fontId="4" fillId="0" borderId="63" xfId="0" applyFont="1" applyBorder="1"/>
    <xf numFmtId="0" fontId="4" fillId="0" borderId="64" xfId="0" applyFont="1" applyBorder="1"/>
    <xf numFmtId="0" fontId="4" fillId="0" borderId="64" xfId="0" applyFont="1" applyBorder="1" applyAlignment="1">
      <alignment horizontal="left"/>
    </xf>
    <xf numFmtId="0" fontId="4" fillId="0" borderId="65" xfId="0" applyFont="1" applyBorder="1" applyAlignment="1">
      <alignment horizontal="left"/>
    </xf>
    <xf numFmtId="0" fontId="4" fillId="0" borderId="66" xfId="0" applyFont="1" applyBorder="1" applyAlignment="1">
      <alignment horizontal="left"/>
    </xf>
    <xf numFmtId="0" fontId="4" fillId="0" borderId="67" xfId="0" applyFont="1" applyBorder="1" applyAlignment="1">
      <alignment horizontal="left"/>
    </xf>
    <xf numFmtId="1" fontId="4" fillId="0" borderId="67" xfId="0" applyNumberFormat="1" applyFont="1" applyBorder="1" applyAlignment="1">
      <alignment horizontal="left"/>
    </xf>
    <xf numFmtId="44" fontId="4" fillId="2" borderId="67" xfId="1" applyFont="1" applyFill="1" applyBorder="1" applyAlignment="1">
      <alignment horizontal="right"/>
    </xf>
    <xf numFmtId="0" fontId="4" fillId="0" borderId="68" xfId="0" applyFont="1" applyBorder="1" applyAlignment="1">
      <alignment horizontal="left"/>
    </xf>
    <xf numFmtId="0" fontId="4" fillId="0" borderId="69" xfId="0" applyFont="1" applyBorder="1" applyAlignment="1">
      <alignment horizontal="left"/>
    </xf>
    <xf numFmtId="0" fontId="4" fillId="0" borderId="70" xfId="0" applyFont="1" applyBorder="1" applyAlignment="1">
      <alignment horizontal="left"/>
    </xf>
    <xf numFmtId="0" fontId="4" fillId="0" borderId="71" xfId="0" applyFont="1" applyBorder="1" applyAlignment="1">
      <alignment horizontal="left"/>
    </xf>
    <xf numFmtId="0" fontId="4" fillId="0" borderId="72" xfId="0" applyFont="1" applyBorder="1" applyAlignment="1">
      <alignment horizontal="left"/>
    </xf>
    <xf numFmtId="0" fontId="4" fillId="0" borderId="73" xfId="0" applyFont="1" applyBorder="1" applyAlignment="1">
      <alignment horizontal="left"/>
    </xf>
    <xf numFmtId="0" fontId="4" fillId="3" borderId="74" xfId="0" applyFont="1" applyFill="1" applyBorder="1" applyAlignment="1">
      <alignment horizontal="left"/>
    </xf>
    <xf numFmtId="0" fontId="4" fillId="3" borderId="75" xfId="0" applyFont="1" applyFill="1" applyBorder="1"/>
    <xf numFmtId="0" fontId="5" fillId="3" borderId="4" xfId="0" applyFont="1" applyFill="1" applyBorder="1"/>
    <xf numFmtId="0" fontId="5" fillId="3" borderId="76" xfId="0" applyFont="1" applyFill="1" applyBorder="1"/>
    <xf numFmtId="0" fontId="4" fillId="3" borderId="76" xfId="0" applyFont="1" applyFill="1" applyBorder="1"/>
    <xf numFmtId="0" fontId="4" fillId="3" borderId="76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77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78" xfId="0" applyFont="1" applyFill="1" applyBorder="1" applyAlignment="1">
      <alignment horizontal="left"/>
    </xf>
    <xf numFmtId="44" fontId="4" fillId="3" borderId="78" xfId="1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44" fontId="4" fillId="3" borderId="77" xfId="1" applyFont="1" applyFill="1" applyBorder="1"/>
    <xf numFmtId="44" fontId="4" fillId="3" borderId="78" xfId="1" applyFont="1" applyFill="1" applyBorder="1"/>
    <xf numFmtId="0" fontId="15" fillId="0" borderId="0" xfId="0" applyFont="1" applyAlignment="1">
      <alignment horizontal="left"/>
    </xf>
    <xf numFmtId="10" fontId="0" fillId="2" borderId="0" xfId="3" applyNumberFormat="1" applyFont="1" applyFill="1" applyAlignment="1">
      <alignment horizontal="left"/>
    </xf>
    <xf numFmtId="37" fontId="17" fillId="0" borderId="0" xfId="0" applyNumberFormat="1" applyFont="1" applyAlignment="1">
      <alignment horizontal="right"/>
    </xf>
    <xf numFmtId="37" fontId="18" fillId="0" borderId="11" xfId="0" applyNumberFormat="1" applyFont="1" applyBorder="1" applyAlignment="1">
      <alignment horizontal="right"/>
    </xf>
    <xf numFmtId="168" fontId="18" fillId="0" borderId="12" xfId="3" applyNumberFormat="1" applyFont="1" applyFill="1" applyBorder="1" applyAlignment="1" applyProtection="1">
      <protection locked="0"/>
    </xf>
    <xf numFmtId="0" fontId="18" fillId="0" borderId="0" xfId="0" applyFont="1"/>
    <xf numFmtId="40" fontId="19" fillId="0" borderId="0" xfId="0" applyNumberFormat="1" applyFont="1"/>
    <xf numFmtId="0" fontId="20" fillId="0" borderId="0" xfId="0" quotePrefix="1" applyFont="1" applyAlignment="1">
      <alignment horizontal="left"/>
    </xf>
    <xf numFmtId="0" fontId="20" fillId="0" borderId="0" xfId="0" applyFont="1"/>
    <xf numFmtId="40" fontId="20" fillId="0" borderId="0" xfId="0" applyNumberFormat="1" applyFont="1"/>
    <xf numFmtId="0" fontId="21" fillId="0" borderId="0" xfId="0" applyFont="1" applyAlignment="1">
      <alignment horizontal="left"/>
    </xf>
    <xf numFmtId="0" fontId="22" fillId="0" borderId="19" xfId="0" applyFont="1" applyBorder="1" applyAlignment="1">
      <alignment horizontal="left"/>
    </xf>
    <xf numFmtId="0" fontId="22" fillId="0" borderId="14" xfId="0" applyFont="1" applyBorder="1"/>
    <xf numFmtId="0" fontId="0" fillId="0" borderId="15" xfId="0" applyBorder="1"/>
    <xf numFmtId="49" fontId="18" fillId="0" borderId="51" xfId="0" applyNumberFormat="1" applyFont="1" applyBorder="1" applyAlignment="1">
      <alignment horizontal="left" vertical="top" wrapText="1"/>
    </xf>
    <xf numFmtId="14" fontId="22" fillId="0" borderId="10" xfId="0" quotePrefix="1" applyNumberFormat="1" applyFont="1" applyBorder="1" applyAlignment="1">
      <alignment horizontal="right"/>
    </xf>
    <xf numFmtId="40" fontId="18" fillId="0" borderId="79" xfId="0" applyNumberFormat="1" applyFont="1" applyBorder="1" applyAlignment="1">
      <alignment horizontal="right"/>
    </xf>
    <xf numFmtId="0" fontId="22" fillId="0" borderId="0" xfId="0" applyFont="1" applyAlignment="1">
      <alignment vertical="top" wrapText="1"/>
    </xf>
    <xf numFmtId="0" fontId="22" fillId="0" borderId="27" xfId="0" applyFont="1" applyBorder="1" applyAlignment="1">
      <alignment vertical="top" wrapText="1"/>
    </xf>
    <xf numFmtId="44" fontId="22" fillId="0" borderId="0" xfId="1" applyFont="1" applyBorder="1"/>
    <xf numFmtId="44" fontId="4" fillId="0" borderId="80" xfId="1" applyFont="1" applyBorder="1"/>
    <xf numFmtId="44" fontId="0" fillId="0" borderId="0" xfId="0" applyNumberFormat="1"/>
    <xf numFmtId="0" fontId="22" fillId="0" borderId="0" xfId="0" quotePrefix="1" applyFont="1" applyAlignment="1">
      <alignment vertical="top" wrapText="1"/>
    </xf>
    <xf numFmtId="0" fontId="22" fillId="0" borderId="27" xfId="0" quotePrefix="1" applyFont="1" applyBorder="1" applyAlignment="1">
      <alignment vertical="top" wrapText="1"/>
    </xf>
    <xf numFmtId="0" fontId="22" fillId="0" borderId="51" xfId="0" quotePrefix="1" applyFont="1" applyBorder="1" applyAlignment="1">
      <alignment vertical="top" wrapText="1"/>
    </xf>
    <xf numFmtId="44" fontId="22" fillId="0" borderId="10" xfId="0" applyNumberFormat="1" applyFont="1" applyBorder="1"/>
    <xf numFmtId="0" fontId="23" fillId="0" borderId="0" xfId="0" applyFont="1" applyAlignment="1">
      <alignment horizontal="right"/>
    </xf>
    <xf numFmtId="0" fontId="0" fillId="0" borderId="7" xfId="0" applyBorder="1"/>
    <xf numFmtId="167" fontId="23" fillId="0" borderId="10" xfId="0" applyNumberFormat="1" applyFont="1" applyBorder="1" applyAlignment="1">
      <alignment horizontal="center"/>
    </xf>
    <xf numFmtId="167" fontId="23" fillId="0" borderId="79" xfId="0" applyNumberFormat="1" applyFont="1" applyBorder="1" applyAlignment="1">
      <alignment horizontal="center"/>
    </xf>
    <xf numFmtId="0" fontId="24" fillId="0" borderId="81" xfId="0" quotePrefix="1" applyFont="1" applyBorder="1" applyAlignment="1">
      <alignment horizontal="right"/>
    </xf>
    <xf numFmtId="169" fontId="24" fillId="0" borderId="82" xfId="1" applyNumberFormat="1" applyFont="1" applyBorder="1" applyAlignment="1"/>
    <xf numFmtId="169" fontId="24" fillId="0" borderId="0" xfId="1" applyNumberFormat="1" applyFont="1" applyAlignment="1"/>
    <xf numFmtId="0" fontId="24" fillId="0" borderId="83" xfId="0" quotePrefix="1" applyFont="1" applyBorder="1" applyAlignment="1">
      <alignment horizontal="right"/>
    </xf>
    <xf numFmtId="169" fontId="24" fillId="0" borderId="84" xfId="1" applyNumberFormat="1" applyFont="1" applyBorder="1" applyAlignment="1"/>
    <xf numFmtId="0" fontId="24" fillId="0" borderId="83" xfId="0" applyFont="1" applyBorder="1" applyAlignment="1">
      <alignment horizontal="right"/>
    </xf>
    <xf numFmtId="0" fontId="0" fillId="0" borderId="84" xfId="0" applyBorder="1"/>
    <xf numFmtId="169" fontId="24" fillId="0" borderId="85" xfId="1" applyNumberFormat="1" applyFont="1" applyBorder="1" applyAlignment="1"/>
    <xf numFmtId="169" fontId="24" fillId="0" borderId="86" xfId="1" applyNumberFormat="1" applyFont="1" applyBorder="1" applyAlignment="1"/>
    <xf numFmtId="0" fontId="23" fillId="0" borderId="87" xfId="0" quotePrefix="1" applyFont="1" applyBorder="1" applyAlignment="1">
      <alignment horizontal="right"/>
    </xf>
    <xf numFmtId="169" fontId="23" fillId="0" borderId="51" xfId="1" applyNumberFormat="1" applyFont="1" applyBorder="1" applyAlignment="1"/>
    <xf numFmtId="169" fontId="0" fillId="0" borderId="0" xfId="0" applyNumberFormat="1"/>
    <xf numFmtId="169" fontId="23" fillId="0" borderId="0" xfId="1" applyNumberFormat="1" applyFont="1" applyAlignment="1"/>
    <xf numFmtId="0" fontId="25" fillId="0" borderId="0" xfId="0" quotePrefix="1" applyFont="1"/>
    <xf numFmtId="169" fontId="23" fillId="0" borderId="88" xfId="1" applyNumberFormat="1" applyFont="1" applyBorder="1" applyAlignment="1"/>
    <xf numFmtId="0" fontId="24" fillId="0" borderId="0" xfId="0" applyFont="1" applyAlignment="1">
      <alignment horizontal="right"/>
    </xf>
    <xf numFmtId="9" fontId="24" fillId="0" borderId="0" xfId="0" applyNumberFormat="1" applyFont="1"/>
    <xf numFmtId="170" fontId="24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/>
    <xf numFmtId="0" fontId="15" fillId="0" borderId="1" xfId="0" applyFont="1" applyBorder="1"/>
    <xf numFmtId="0" fontId="15" fillId="0" borderId="14" xfId="0" applyFont="1" applyBorder="1"/>
    <xf numFmtId="0" fontId="0" fillId="0" borderId="89" xfId="0" applyBorder="1"/>
    <xf numFmtId="44" fontId="0" fillId="0" borderId="90" xfId="0" applyNumberFormat="1" applyBorder="1"/>
    <xf numFmtId="0" fontId="15" fillId="0" borderId="7" xfId="0" applyFont="1" applyBorder="1"/>
    <xf numFmtId="0" fontId="15" fillId="0" borderId="10" xfId="0" applyFont="1" applyBorder="1" applyAlignment="1">
      <alignment horizontal="right"/>
    </xf>
    <xf numFmtId="44" fontId="15" fillId="0" borderId="91" xfId="0" applyNumberFormat="1" applyFont="1" applyBorder="1"/>
    <xf numFmtId="0" fontId="26" fillId="2" borderId="0" xfId="0" applyFont="1" applyFill="1" applyAlignment="1">
      <alignment horizontal="left"/>
    </xf>
    <xf numFmtId="0" fontId="0" fillId="2" borderId="0" xfId="0" applyFill="1"/>
    <xf numFmtId="0" fontId="15" fillId="4" borderId="0" xfId="0" applyFont="1" applyFill="1" applyAlignment="1">
      <alignment horizontal="left"/>
    </xf>
    <xf numFmtId="0" fontId="0" fillId="4" borderId="0" xfId="0" applyFill="1"/>
    <xf numFmtId="0" fontId="27" fillId="4" borderId="0" xfId="0" applyFont="1" applyFill="1"/>
    <xf numFmtId="0" fontId="28" fillId="4" borderId="0" xfId="0" applyFont="1" applyFill="1"/>
    <xf numFmtId="0" fontId="0" fillId="5" borderId="0" xfId="0" applyFill="1"/>
    <xf numFmtId="0" fontId="15" fillId="3" borderId="0" xfId="0" applyFont="1" applyFill="1"/>
    <xf numFmtId="0" fontId="0" fillId="3" borderId="0" xfId="0" applyFill="1"/>
    <xf numFmtId="0" fontId="27" fillId="3" borderId="0" xfId="0" applyFont="1" applyFill="1"/>
    <xf numFmtId="0" fontId="29" fillId="3" borderId="0" xfId="0" applyFont="1" applyFill="1"/>
    <xf numFmtId="0" fontId="10" fillId="5" borderId="0" xfId="0" applyFont="1" applyFill="1"/>
    <xf numFmtId="44" fontId="10" fillId="5" borderId="0" xfId="1" applyFont="1" applyFill="1"/>
    <xf numFmtId="44" fontId="10" fillId="5" borderId="0" xfId="4" applyFont="1" applyFill="1"/>
    <xf numFmtId="0" fontId="30" fillId="0" borderId="0" xfId="0" quotePrefix="1" applyFont="1"/>
    <xf numFmtId="0" fontId="20" fillId="6" borderId="1" xfId="0" quotePrefix="1" applyFont="1" applyFill="1" applyBorder="1" applyAlignment="1">
      <alignment horizontal="right"/>
    </xf>
    <xf numFmtId="0" fontId="31" fillId="6" borderId="14" xfId="0" applyFont="1" applyFill="1" applyBorder="1"/>
    <xf numFmtId="0" fontId="16" fillId="6" borderId="15" xfId="0" applyFont="1" applyFill="1" applyBorder="1"/>
    <xf numFmtId="0" fontId="32" fillId="0" borderId="89" xfId="0" applyFont="1" applyBorder="1" applyAlignment="1">
      <alignment horizontal="right"/>
    </xf>
    <xf numFmtId="0" fontId="16" fillId="0" borderId="0" xfId="0" applyFont="1"/>
    <xf numFmtId="44" fontId="31" fillId="0" borderId="90" xfId="1" applyFont="1" applyFill="1" applyBorder="1"/>
    <xf numFmtId="0" fontId="33" fillId="0" borderId="11" xfId="0" applyFont="1" applyBorder="1" applyAlignment="1">
      <alignment horizontal="right"/>
    </xf>
    <xf numFmtId="0" fontId="16" fillId="0" borderId="12" xfId="0" applyFont="1" applyBorder="1"/>
    <xf numFmtId="44" fontId="33" fillId="0" borderId="52" xfId="1" applyFont="1" applyFill="1" applyBorder="1"/>
    <xf numFmtId="0" fontId="15" fillId="3" borderId="0" xfId="0" applyFont="1" applyFill="1" applyAlignment="1">
      <alignment horizontal="left"/>
    </xf>
    <xf numFmtId="0" fontId="30" fillId="3" borderId="0" xfId="0" applyFont="1" applyFill="1" applyAlignment="1">
      <alignment horizontal="right"/>
    </xf>
    <xf numFmtId="2" fontId="1" fillId="3" borderId="0" xfId="1" applyNumberFormat="1" applyFont="1" applyFill="1"/>
    <xf numFmtId="44" fontId="1" fillId="3" borderId="0" xfId="1" applyFont="1" applyFill="1"/>
    <xf numFmtId="44" fontId="0" fillId="3" borderId="0" xfId="0" applyNumberFormat="1" applyFill="1"/>
    <xf numFmtId="2" fontId="0" fillId="3" borderId="0" xfId="0" applyNumberFormat="1" applyFill="1"/>
    <xf numFmtId="0" fontId="10" fillId="5" borderId="0" xfId="0" applyFont="1" applyFill="1" applyAlignment="1">
      <alignment horizontal="right"/>
    </xf>
    <xf numFmtId="0" fontId="4" fillId="0" borderId="0" xfId="0" quotePrefix="1" applyFont="1" applyAlignment="1">
      <alignment horizontal="left"/>
    </xf>
    <xf numFmtId="0" fontId="9" fillId="2" borderId="16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vertical="top"/>
    </xf>
    <xf numFmtId="0" fontId="4" fillId="2" borderId="11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165" fontId="4" fillId="2" borderId="11" xfId="2" applyNumberFormat="1" applyFont="1" applyFill="1" applyBorder="1" applyAlignment="1">
      <alignment horizontal="left" vertical="top" wrapText="1"/>
    </xf>
    <xf numFmtId="0" fontId="4" fillId="2" borderId="52" xfId="0" applyFont="1" applyFill="1" applyBorder="1" applyAlignment="1">
      <alignment horizontal="left" vertical="top" wrapText="1"/>
    </xf>
    <xf numFmtId="0" fontId="4" fillId="0" borderId="52" xfId="0" applyFont="1" applyBorder="1" applyAlignment="1">
      <alignment horizontal="left"/>
    </xf>
    <xf numFmtId="0" fontId="4" fillId="0" borderId="92" xfId="0" applyFont="1" applyBorder="1"/>
    <xf numFmtId="0" fontId="4" fillId="0" borderId="19" xfId="0" applyFont="1" applyBorder="1"/>
    <xf numFmtId="44" fontId="4" fillId="0" borderId="93" xfId="1" applyFont="1" applyBorder="1"/>
    <xf numFmtId="0" fontId="4" fillId="0" borderId="94" xfId="0" applyFont="1" applyBorder="1"/>
    <xf numFmtId="44" fontId="4" fillId="0" borderId="65" xfId="1" applyFont="1" applyBorder="1"/>
    <xf numFmtId="44" fontId="4" fillId="0" borderId="64" xfId="1" applyFont="1" applyBorder="1"/>
    <xf numFmtId="0" fontId="4" fillId="0" borderId="95" xfId="0" applyFont="1" applyBorder="1"/>
    <xf numFmtId="0" fontId="4" fillId="0" borderId="27" xfId="0" applyFont="1" applyBorder="1"/>
    <xf numFmtId="0" fontId="4" fillId="0" borderId="80" xfId="0" applyFont="1" applyBorder="1"/>
    <xf numFmtId="44" fontId="4" fillId="0" borderId="28" xfId="1" applyFont="1" applyBorder="1"/>
    <xf numFmtId="44" fontId="4" fillId="0" borderId="29" xfId="1" applyFont="1" applyBorder="1"/>
    <xf numFmtId="0" fontId="4" fillId="0" borderId="96" xfId="0" applyFont="1" applyBorder="1"/>
    <xf numFmtId="0" fontId="4" fillId="0" borderId="93" xfId="0" applyFont="1" applyBorder="1"/>
    <xf numFmtId="44" fontId="4" fillId="0" borderId="97" xfId="1" applyFont="1" applyBorder="1"/>
    <xf numFmtId="44" fontId="4" fillId="0" borderId="98" xfId="1" applyFont="1" applyBorder="1"/>
    <xf numFmtId="44" fontId="4" fillId="0" borderId="99" xfId="1" applyFont="1" applyBorder="1"/>
    <xf numFmtId="44" fontId="4" fillId="0" borderId="100" xfId="1" applyFont="1" applyBorder="1"/>
    <xf numFmtId="0" fontId="11" fillId="0" borderId="52" xfId="0" applyFont="1" applyBorder="1" applyAlignment="1">
      <alignment vertical="center" textRotation="90"/>
    </xf>
    <xf numFmtId="0" fontId="10" fillId="0" borderId="0" xfId="0" applyFont="1" applyAlignment="1">
      <alignment vertical="center" textRotation="90"/>
    </xf>
    <xf numFmtId="44" fontId="0" fillId="0" borderId="0" xfId="1" applyFont="1"/>
    <xf numFmtId="0" fontId="34" fillId="0" borderId="0" xfId="0" applyFont="1" applyAlignment="1">
      <alignment horizontal="right"/>
    </xf>
    <xf numFmtId="9" fontId="24" fillId="0" borderId="90" xfId="0" applyNumberFormat="1" applyFont="1" applyBorder="1"/>
    <xf numFmtId="44" fontId="22" fillId="0" borderId="36" xfId="1" applyFont="1" applyBorder="1"/>
    <xf numFmtId="167" fontId="11" fillId="0" borderId="0" xfId="0" applyNumberFormat="1" applyFont="1" applyAlignment="1">
      <alignment horizontal="center"/>
    </xf>
    <xf numFmtId="0" fontId="20" fillId="2" borderId="1" xfId="0" quotePrefix="1" applyFont="1" applyFill="1" applyBorder="1" applyAlignment="1">
      <alignment horizontal="right"/>
    </xf>
    <xf numFmtId="0" fontId="4" fillId="2" borderId="14" xfId="0" applyFont="1" applyFill="1" applyBorder="1"/>
    <xf numFmtId="0" fontId="0" fillId="2" borderId="15" xfId="0" applyFill="1" applyBorder="1"/>
    <xf numFmtId="0" fontId="25" fillId="0" borderId="89" xfId="0" applyFont="1" applyBorder="1" applyAlignment="1">
      <alignment horizontal="right"/>
    </xf>
    <xf numFmtId="44" fontId="4" fillId="0" borderId="90" xfId="1" applyFont="1" applyBorder="1"/>
    <xf numFmtId="2" fontId="4" fillId="0" borderId="90" xfId="1" applyNumberFormat="1" applyFont="1" applyBorder="1"/>
    <xf numFmtId="0" fontId="8" fillId="0" borderId="11" xfId="0" applyFont="1" applyBorder="1" applyAlignment="1">
      <alignment horizontal="right"/>
    </xf>
    <xf numFmtId="0" fontId="0" fillId="0" borderId="12" xfId="0" applyBorder="1"/>
    <xf numFmtId="44" fontId="8" fillId="0" borderId="52" xfId="1" applyFont="1" applyFill="1" applyBorder="1"/>
    <xf numFmtId="0" fontId="0" fillId="0" borderId="101" xfId="0" applyBorder="1"/>
    <xf numFmtId="44" fontId="15" fillId="0" borderId="101" xfId="1" applyFont="1" applyBorder="1"/>
    <xf numFmtId="44" fontId="0" fillId="0" borderId="101" xfId="0" applyNumberFormat="1" applyBorder="1"/>
    <xf numFmtId="44" fontId="0" fillId="0" borderId="101" xfId="1" applyFont="1" applyBorder="1"/>
    <xf numFmtId="0" fontId="0" fillId="0" borderId="96" xfId="0" applyBorder="1"/>
    <xf numFmtId="44" fontId="0" fillId="0" borderId="96" xfId="0" applyNumberFormat="1" applyBorder="1"/>
    <xf numFmtId="44" fontId="0" fillId="0" borderId="96" xfId="1" applyFont="1" applyBorder="1"/>
    <xf numFmtId="0" fontId="15" fillId="0" borderId="78" xfId="0" applyFont="1" applyBorder="1"/>
    <xf numFmtId="0" fontId="0" fillId="0" borderId="78" xfId="0" applyBorder="1"/>
    <xf numFmtId="0" fontId="15" fillId="0" borderId="78" xfId="0" applyFont="1" applyBorder="1" applyAlignment="1">
      <alignment wrapText="1"/>
    </xf>
    <xf numFmtId="0" fontId="0" fillId="0" borderId="78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3" xfId="0" applyBorder="1" applyAlignment="1">
      <alignment horizontal="center" wrapText="1"/>
    </xf>
    <xf numFmtId="0" fontId="24" fillId="0" borderId="105" xfId="0" quotePrefix="1" applyFont="1" applyBorder="1" applyAlignment="1">
      <alignment horizontal="right"/>
    </xf>
    <xf numFmtId="171" fontId="24" fillId="0" borderId="86" xfId="3" applyNumberFormat="1" applyFont="1" applyBorder="1" applyAlignment="1"/>
    <xf numFmtId="0" fontId="37" fillId="0" borderId="1" xfId="0" applyFont="1" applyBorder="1"/>
    <xf numFmtId="169" fontId="37" fillId="0" borderId="15" xfId="1" applyNumberFormat="1" applyFont="1" applyBorder="1" applyAlignment="1"/>
    <xf numFmtId="0" fontId="37" fillId="0" borderId="89" xfId="0" applyFont="1" applyBorder="1"/>
    <xf numFmtId="169" fontId="37" fillId="0" borderId="90" xfId="1" applyNumberFormat="1" applyFont="1" applyBorder="1" applyAlignment="1"/>
    <xf numFmtId="0" fontId="38" fillId="0" borderId="89" xfId="0" applyFont="1" applyBorder="1"/>
    <xf numFmtId="44" fontId="38" fillId="0" borderId="90" xfId="0" applyNumberFormat="1" applyFont="1" applyBorder="1" applyAlignment="1">
      <alignment horizontal="center"/>
    </xf>
    <xf numFmtId="0" fontId="37" fillId="0" borderId="89" xfId="0" quotePrefix="1" applyFont="1" applyBorder="1" applyAlignment="1">
      <alignment horizontal="left"/>
    </xf>
    <xf numFmtId="171" fontId="37" fillId="0" borderId="90" xfId="3" applyNumberFormat="1" applyFont="1" applyBorder="1" applyAlignment="1"/>
    <xf numFmtId="0" fontId="38" fillId="0" borderId="7" xfId="0" applyFont="1" applyBorder="1"/>
    <xf numFmtId="169" fontId="38" fillId="0" borderId="91" xfId="1" applyNumberFormat="1" applyFont="1" applyBorder="1" applyAlignment="1"/>
    <xf numFmtId="0" fontId="37" fillId="0" borderId="0" xfId="0" applyFont="1"/>
    <xf numFmtId="44" fontId="37" fillId="0" borderId="0" xfId="0" applyNumberFormat="1" applyFont="1" applyAlignment="1">
      <alignment horizontal="center"/>
    </xf>
    <xf numFmtId="0" fontId="37" fillId="0" borderId="27" xfId="0" applyFont="1" applyBorder="1" applyAlignment="1">
      <alignment horizontal="left"/>
    </xf>
    <xf numFmtId="169" fontId="39" fillId="0" borderId="106" xfId="1" applyNumberFormat="1" applyFont="1" applyBorder="1" applyAlignment="1"/>
    <xf numFmtId="0" fontId="36" fillId="0" borderId="27" xfId="0" quotePrefix="1" applyFont="1" applyBorder="1" applyAlignment="1">
      <alignment horizontal="left"/>
    </xf>
    <xf numFmtId="171" fontId="36" fillId="0" borderId="90" xfId="3" applyNumberFormat="1" applyFont="1" applyBorder="1" applyAlignment="1">
      <alignment horizontal="right"/>
    </xf>
    <xf numFmtId="0" fontId="38" fillId="0" borderId="51" xfId="0" applyFont="1" applyBorder="1" applyAlignment="1">
      <alignment horizontal="left"/>
    </xf>
    <xf numFmtId="169" fontId="38" fillId="0" borderId="91" xfId="1" applyNumberFormat="1" applyFont="1" applyBorder="1" applyAlignment="1">
      <alignment horizontal="left"/>
    </xf>
    <xf numFmtId="0" fontId="0" fillId="0" borderId="1" xfId="0" applyBorder="1"/>
    <xf numFmtId="0" fontId="0" fillId="0" borderId="14" xfId="0" applyBorder="1"/>
    <xf numFmtId="44" fontId="0" fillId="0" borderId="15" xfId="0" applyNumberFormat="1" applyBorder="1"/>
    <xf numFmtId="0" fontId="15" fillId="0" borderId="10" xfId="0" applyFont="1" applyBorder="1"/>
    <xf numFmtId="0" fontId="39" fillId="0" borderId="105" xfId="0" quotePrefix="1" applyFont="1" applyBorder="1" applyAlignment="1">
      <alignment horizontal="right"/>
    </xf>
    <xf numFmtId="0" fontId="15" fillId="10" borderId="0" xfId="0" applyFont="1" applyFill="1"/>
    <xf numFmtId="0" fontId="0" fillId="10" borderId="0" xfId="0" applyFill="1"/>
    <xf numFmtId="44" fontId="0" fillId="10" borderId="0" xfId="0" applyNumberFormat="1" applyFill="1"/>
    <xf numFmtId="44" fontId="15" fillId="10" borderId="0" xfId="0" applyNumberFormat="1" applyFont="1" applyFill="1"/>
    <xf numFmtId="0" fontId="35" fillId="0" borderId="19" xfId="0" applyFont="1" applyBorder="1"/>
    <xf numFmtId="169" fontId="41" fillId="0" borderId="19" xfId="0" applyNumberFormat="1" applyFont="1" applyBorder="1"/>
    <xf numFmtId="0" fontId="39" fillId="0" borderId="86" xfId="0" quotePrefix="1" applyFont="1" applyBorder="1" applyAlignment="1">
      <alignment horizontal="right"/>
    </xf>
    <xf numFmtId="171" fontId="39" fillId="0" borderId="86" xfId="3" applyNumberFormat="1" applyFont="1" applyFill="1" applyBorder="1" applyAlignment="1"/>
    <xf numFmtId="0" fontId="40" fillId="0" borderId="88" xfId="0" quotePrefix="1" applyFont="1" applyBorder="1" applyAlignment="1">
      <alignment horizontal="right"/>
    </xf>
    <xf numFmtId="169" fontId="40" fillId="0" borderId="51" xfId="1" applyNumberFormat="1" applyFont="1" applyFill="1" applyBorder="1" applyAlignment="1"/>
    <xf numFmtId="0" fontId="40" fillId="11" borderId="88" xfId="0" quotePrefix="1" applyFont="1" applyFill="1" applyBorder="1" applyAlignment="1">
      <alignment horizontal="right"/>
    </xf>
    <xf numFmtId="169" fontId="40" fillId="11" borderId="51" xfId="1" applyNumberFormat="1" applyFont="1" applyFill="1" applyBorder="1" applyAlignment="1"/>
    <xf numFmtId="0" fontId="37" fillId="0" borderId="32" xfId="0" applyFont="1" applyBorder="1" applyAlignment="1">
      <alignment horizontal="left"/>
    </xf>
    <xf numFmtId="44" fontId="37" fillId="0" borderId="32" xfId="1" applyFont="1" applyBorder="1"/>
    <xf numFmtId="44" fontId="37" fillId="0" borderId="44" xfId="1" applyFont="1" applyBorder="1"/>
    <xf numFmtId="0" fontId="37" fillId="0" borderId="28" xfId="0" applyFont="1" applyBorder="1"/>
    <xf numFmtId="0" fontId="37" fillId="0" borderId="41" xfId="0" applyFont="1" applyBorder="1"/>
    <xf numFmtId="0" fontId="36" fillId="0" borderId="11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15" fillId="0" borderId="0" xfId="0" applyFont="1" applyAlignment="1">
      <alignment horizontal="center" textRotation="90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5" fillId="0" borderId="0" xfId="0" applyFont="1" applyAlignment="1">
      <alignment horizontal="center" vertical="center" textRotation="90"/>
    </xf>
    <xf numFmtId="0" fontId="35" fillId="0" borderId="11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 textRotation="90"/>
    </xf>
    <xf numFmtId="0" fontId="10" fillId="0" borderId="27" xfId="0" applyFont="1" applyBorder="1" applyAlignment="1">
      <alignment horizontal="center" vertical="center" textRotation="90"/>
    </xf>
    <xf numFmtId="0" fontId="10" fillId="0" borderId="51" xfId="0" applyFont="1" applyBorder="1" applyAlignment="1">
      <alignment horizontal="center" vertical="center" textRotation="90"/>
    </xf>
    <xf numFmtId="0" fontId="11" fillId="0" borderId="19" xfId="0" applyFont="1" applyBorder="1" applyAlignment="1">
      <alignment horizontal="center" vertical="center" textRotation="90"/>
    </xf>
    <xf numFmtId="0" fontId="11" fillId="0" borderId="27" xfId="0" applyFont="1" applyBorder="1" applyAlignment="1">
      <alignment horizontal="center" vertical="center" textRotation="90"/>
    </xf>
    <xf numFmtId="0" fontId="0" fillId="0" borderId="78" xfId="0" applyBorder="1" applyAlignment="1">
      <alignment horizontal="center" wrapText="1"/>
    </xf>
    <xf numFmtId="0" fontId="15" fillId="9" borderId="103" xfId="0" applyFont="1" applyFill="1" applyBorder="1" applyAlignment="1">
      <alignment horizontal="center"/>
    </xf>
    <xf numFmtId="0" fontId="15" fillId="9" borderId="102" xfId="0" applyFont="1" applyFill="1" applyBorder="1" applyAlignment="1">
      <alignment horizontal="center"/>
    </xf>
    <xf numFmtId="0" fontId="15" fillId="8" borderId="103" xfId="0" applyFont="1" applyFill="1" applyBorder="1" applyAlignment="1">
      <alignment horizontal="center"/>
    </xf>
    <xf numFmtId="0" fontId="15" fillId="8" borderId="102" xfId="0" applyFont="1" applyFill="1" applyBorder="1" applyAlignment="1">
      <alignment horizontal="center"/>
    </xf>
    <xf numFmtId="0" fontId="15" fillId="7" borderId="103" xfId="0" applyFont="1" applyFill="1" applyBorder="1" applyAlignment="1">
      <alignment horizontal="center"/>
    </xf>
    <xf numFmtId="0" fontId="15" fillId="7" borderId="102" xfId="0" applyFont="1" applyFill="1" applyBorder="1" applyAlignment="1">
      <alignment horizontal="center"/>
    </xf>
    <xf numFmtId="0" fontId="15" fillId="2" borderId="104" xfId="0" applyFont="1" applyFill="1" applyBorder="1" applyAlignment="1">
      <alignment horizontal="center"/>
    </xf>
  </cellXfs>
  <cellStyles count="5">
    <cellStyle name="Komma 3" xfId="2" xr:uid="{D72BF233-640B-4D3B-B44D-D140433D2E76}"/>
    <cellStyle name="Procent" xfId="3" builtinId="5"/>
    <cellStyle name="Standaard" xfId="0" builtinId="0"/>
    <cellStyle name="Valuta" xfId="1" builtinId="4"/>
    <cellStyle name="Valuta 3" xfId="4" xr:uid="{E86EB285-8503-4F64-9EDD-2F29F24584D9}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w-s-02\redirectedfolders\r.verdonschot\Documents\Tijdelijk\LvC\231205%2022NW75510%20Accommodatieoverzicht%20Vianen%20Vooruit%20(boxmeer%20model).xlsx" TargetMode="External"/><Relationship Id="rId1" Type="http://schemas.openxmlformats.org/officeDocument/2006/relationships/externalLinkPath" Target="file:///\\nw-s-02\redirectedfolders\r.verdonschot\Documents\Tijdelijk\LvC\231205%2022NW75510%20Accommodatieoverzicht%20Vianen%20Vooruit%20(boxmeer%20mode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anen Vooruit"/>
      <sheetName val="Velden"/>
      <sheetName val="Gebouw"/>
      <sheetName val="Onderhoud buiten"/>
      <sheetName val="Onderhoud gebouw"/>
      <sheetName val="Word"/>
    </sheetNames>
    <sheetDataSet>
      <sheetData sheetId="0"/>
      <sheetData sheetId="1">
        <row r="73">
          <cell r="BD73">
            <v>605</v>
          </cell>
        </row>
      </sheetData>
      <sheetData sheetId="2">
        <row r="29">
          <cell r="BD29">
            <v>0</v>
          </cell>
        </row>
      </sheetData>
      <sheetData sheetId="3">
        <row r="105">
          <cell r="C105">
            <v>58500</v>
          </cell>
        </row>
      </sheetData>
      <sheetData sheetId="4">
        <row r="12">
          <cell r="B12">
            <v>37</v>
          </cell>
        </row>
      </sheetData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ens Verdonschot" id="{9A65EF0E-7EAA-4BF3-8507-B902ABAE5F4B}" userId="S::r.verdonschot@newae.nl::9a16aaa7-d5bf-4670-b453-29d702ddd588" providerId="AD"/>
</personList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0" dT="2024-06-11T13:41:38.21" personId="{9A65EF0E-7EAA-4BF3-8507-B902ABAE5F4B}" id="{79A68E1F-2B16-48C0-B518-30C364306B5C}">
    <text xml:space="preserve">Opmerking Constantia: Waar zijn hoeveelheden op gebaseerd. klopt namelijk niet. 
Gebaseerd op hoeveelheden die zijn aangetroffen in het veld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DD267-9B75-45C4-8F7A-04D429266E4B}">
  <dimension ref="A1:AI70"/>
  <sheetViews>
    <sheetView tabSelected="1" topLeftCell="A8" workbookViewId="0">
      <selection activeCell="E25" sqref="E25"/>
    </sheetView>
  </sheetViews>
  <sheetFormatPr defaultRowHeight="15" x14ac:dyDescent="0.25"/>
  <cols>
    <col min="1" max="1" width="11.140625" customWidth="1"/>
    <col min="2" max="2" width="84.85546875" bestFit="1" customWidth="1"/>
    <col min="3" max="32" width="18.7109375" customWidth="1"/>
    <col min="33" max="33" width="18.28515625" bestFit="1" customWidth="1"/>
    <col min="35" max="35" width="12.7109375" bestFit="1" customWidth="1"/>
  </cols>
  <sheetData>
    <row r="1" spans="1:35" x14ac:dyDescent="0.25">
      <c r="B1" s="160" t="s">
        <v>59</v>
      </c>
    </row>
    <row r="2" spans="1:35" x14ac:dyDescent="0.25">
      <c r="B2" t="s">
        <v>60</v>
      </c>
      <c r="C2" s="161">
        <v>0.25</v>
      </c>
    </row>
    <row r="3" spans="1:35" x14ac:dyDescent="0.25">
      <c r="B3" t="s">
        <v>61</v>
      </c>
      <c r="C3" s="161">
        <v>0.2</v>
      </c>
    </row>
    <row r="4" spans="1:35" x14ac:dyDescent="0.25">
      <c r="B4" t="s">
        <v>62</v>
      </c>
    </row>
    <row r="5" spans="1:35" x14ac:dyDescent="0.25">
      <c r="B5" t="s">
        <v>63</v>
      </c>
    </row>
    <row r="6" spans="1:35" ht="15.75" thickBot="1" x14ac:dyDescent="0.3"/>
    <row r="7" spans="1:35" ht="16.5" thickBot="1" x14ac:dyDescent="0.3">
      <c r="A7" s="162"/>
      <c r="B7" s="163" t="s">
        <v>64</v>
      </c>
      <c r="C7" s="164">
        <v>1.4999999999999999E-2</v>
      </c>
      <c r="D7" s="3"/>
      <c r="E7" s="16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166"/>
    </row>
    <row r="8" spans="1:35" ht="18.75" thickBot="1" x14ac:dyDescent="0.3">
      <c r="B8" s="167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9"/>
    </row>
    <row r="9" spans="1:35" ht="15.75" x14ac:dyDescent="0.25">
      <c r="A9" s="170"/>
      <c r="B9" s="171"/>
      <c r="C9" s="172">
        <f>1+A9</f>
        <v>1</v>
      </c>
      <c r="D9" s="172">
        <f t="shared" ref="D9:AF9" si="0">1+C9</f>
        <v>2</v>
      </c>
      <c r="E9" s="172">
        <f t="shared" si="0"/>
        <v>3</v>
      </c>
      <c r="F9" s="172">
        <f t="shared" si="0"/>
        <v>4</v>
      </c>
      <c r="G9" s="172">
        <f t="shared" si="0"/>
        <v>5</v>
      </c>
      <c r="H9" s="172">
        <f t="shared" si="0"/>
        <v>6</v>
      </c>
      <c r="I9" s="172">
        <f t="shared" si="0"/>
        <v>7</v>
      </c>
      <c r="J9" s="172">
        <f t="shared" si="0"/>
        <v>8</v>
      </c>
      <c r="K9" s="172">
        <f t="shared" si="0"/>
        <v>9</v>
      </c>
      <c r="L9" s="172">
        <f t="shared" si="0"/>
        <v>10</v>
      </c>
      <c r="M9" s="172">
        <f t="shared" si="0"/>
        <v>11</v>
      </c>
      <c r="N9" s="172">
        <f t="shared" si="0"/>
        <v>12</v>
      </c>
      <c r="O9" s="172">
        <f t="shared" si="0"/>
        <v>13</v>
      </c>
      <c r="P9" s="172">
        <f t="shared" si="0"/>
        <v>14</v>
      </c>
      <c r="Q9" s="172">
        <f t="shared" si="0"/>
        <v>15</v>
      </c>
      <c r="R9" s="172">
        <f t="shared" si="0"/>
        <v>16</v>
      </c>
      <c r="S9" s="172">
        <f t="shared" si="0"/>
        <v>17</v>
      </c>
      <c r="T9" s="172">
        <f t="shared" si="0"/>
        <v>18</v>
      </c>
      <c r="U9" s="172">
        <f t="shared" si="0"/>
        <v>19</v>
      </c>
      <c r="V9" s="172">
        <f t="shared" si="0"/>
        <v>20</v>
      </c>
      <c r="W9" s="172">
        <f t="shared" si="0"/>
        <v>21</v>
      </c>
      <c r="X9" s="172">
        <f t="shared" si="0"/>
        <v>22</v>
      </c>
      <c r="Y9" s="172">
        <f t="shared" si="0"/>
        <v>23</v>
      </c>
      <c r="Z9" s="172">
        <f t="shared" si="0"/>
        <v>24</v>
      </c>
      <c r="AA9" s="172">
        <f t="shared" si="0"/>
        <v>25</v>
      </c>
      <c r="AB9" s="172">
        <f t="shared" si="0"/>
        <v>26</v>
      </c>
      <c r="AC9" s="172">
        <f t="shared" si="0"/>
        <v>27</v>
      </c>
      <c r="AD9" s="172">
        <f t="shared" si="0"/>
        <v>28</v>
      </c>
      <c r="AE9" s="172">
        <f t="shared" si="0"/>
        <v>29</v>
      </c>
      <c r="AF9" s="172">
        <f t="shared" si="0"/>
        <v>30</v>
      </c>
      <c r="AG9" s="173"/>
    </row>
    <row r="10" spans="1:35" ht="16.5" thickBot="1" x14ac:dyDescent="0.3">
      <c r="A10" s="170"/>
      <c r="B10" s="174"/>
      <c r="C10" s="175">
        <v>46022</v>
      </c>
      <c r="D10" s="175">
        <v>46387</v>
      </c>
      <c r="E10" s="175">
        <v>46752</v>
      </c>
      <c r="F10" s="175">
        <v>47118</v>
      </c>
      <c r="G10" s="175">
        <v>47483</v>
      </c>
      <c r="H10" s="175">
        <v>47848</v>
      </c>
      <c r="I10" s="175">
        <v>48213</v>
      </c>
      <c r="J10" s="175">
        <v>48579</v>
      </c>
      <c r="K10" s="175">
        <v>48944</v>
      </c>
      <c r="L10" s="175">
        <v>49309</v>
      </c>
      <c r="M10" s="175">
        <v>49674</v>
      </c>
      <c r="N10" s="175">
        <v>50040</v>
      </c>
      <c r="O10" s="175">
        <v>50405</v>
      </c>
      <c r="P10" s="175">
        <v>50770</v>
      </c>
      <c r="Q10" s="175">
        <v>51135</v>
      </c>
      <c r="R10" s="175">
        <v>51501</v>
      </c>
      <c r="S10" s="175">
        <v>51866</v>
      </c>
      <c r="T10" s="175">
        <v>52231</v>
      </c>
      <c r="U10" s="175">
        <v>52596</v>
      </c>
      <c r="V10" s="175">
        <v>52962</v>
      </c>
      <c r="W10" s="175">
        <v>53327</v>
      </c>
      <c r="X10" s="175">
        <v>53692</v>
      </c>
      <c r="Y10" s="175">
        <v>54057</v>
      </c>
      <c r="Z10" s="175">
        <v>54423</v>
      </c>
      <c r="AA10" s="175">
        <v>54788</v>
      </c>
      <c r="AB10" s="175">
        <v>55153</v>
      </c>
      <c r="AC10" s="175">
        <v>55518</v>
      </c>
      <c r="AD10" s="175">
        <v>55884</v>
      </c>
      <c r="AE10" s="175">
        <v>56249</v>
      </c>
      <c r="AF10" s="175">
        <v>56614</v>
      </c>
      <c r="AG10" s="176" t="s">
        <v>65</v>
      </c>
    </row>
    <row r="11" spans="1:35" ht="15.75" x14ac:dyDescent="0.25">
      <c r="A11" s="177"/>
      <c r="B11" s="178" t="s">
        <v>66</v>
      </c>
      <c r="C11" s="179">
        <f>'Kapitaalslast gebouw'!O26</f>
        <v>0</v>
      </c>
      <c r="D11" s="179">
        <f>'Kapitaalslast gebouw'!P26</f>
        <v>0</v>
      </c>
      <c r="E11" s="179">
        <f>'Kapitaalslast gebouw'!Q26</f>
        <v>49990.363499999992</v>
      </c>
      <c r="F11" s="179">
        <f>'Kapitaalslast gebouw'!R26</f>
        <v>0</v>
      </c>
      <c r="G11" s="179">
        <f>'Kapitaalslast gebouw'!S26</f>
        <v>0</v>
      </c>
      <c r="H11" s="179">
        <f>'Kapitaalslast gebouw'!T26</f>
        <v>0</v>
      </c>
      <c r="I11" s="179">
        <f>'Kapitaalslast gebouw'!U26</f>
        <v>0</v>
      </c>
      <c r="J11" s="179">
        <f>'Kapitaalslast gebouw'!V26</f>
        <v>618813.54149999993</v>
      </c>
      <c r="K11" s="179">
        <f>'Kapitaalslast gebouw'!W26</f>
        <v>0</v>
      </c>
      <c r="L11" s="179">
        <f>'Kapitaalslast gebouw'!X26</f>
        <v>0</v>
      </c>
      <c r="M11" s="179">
        <f>'Kapitaalslast gebouw'!Y26</f>
        <v>0</v>
      </c>
      <c r="N11" s="179">
        <f>'Kapitaalslast gebouw'!Z26</f>
        <v>0</v>
      </c>
      <c r="O11" s="179">
        <f>'Kapitaalslast gebouw'!AA26</f>
        <v>0</v>
      </c>
      <c r="P11" s="179">
        <f>'Kapitaalslast gebouw'!AB26</f>
        <v>0</v>
      </c>
      <c r="Q11" s="179">
        <f>'Kapitaalslast gebouw'!AC26</f>
        <v>0</v>
      </c>
      <c r="R11" s="179">
        <f>'Kapitaalslast gebouw'!AD26</f>
        <v>0</v>
      </c>
      <c r="S11" s="179">
        <f>'Kapitaalslast gebouw'!AE26</f>
        <v>0</v>
      </c>
      <c r="T11" s="179">
        <f>'Kapitaalslast gebouw'!AF26</f>
        <v>137050.10550000001</v>
      </c>
      <c r="U11" s="179">
        <f>'Kapitaalslast gebouw'!AG26</f>
        <v>0</v>
      </c>
      <c r="V11" s="179">
        <f>'Kapitaalslast gebouw'!AH26</f>
        <v>0</v>
      </c>
      <c r="W11" s="179">
        <f>'Kapitaalslast gebouw'!AI26</f>
        <v>0</v>
      </c>
      <c r="X11" s="179">
        <f>'Kapitaalslast gebouw'!AJ26</f>
        <v>0</v>
      </c>
      <c r="Y11" s="179">
        <f>'Kapitaalslast gebouw'!AK26</f>
        <v>0</v>
      </c>
      <c r="Z11" s="179">
        <f>'Kapitaalslast gebouw'!AL26</f>
        <v>0</v>
      </c>
      <c r="AA11" s="179">
        <f>'Kapitaalslast gebouw'!AM26</f>
        <v>0</v>
      </c>
      <c r="AB11" s="179">
        <f>'Kapitaalslast gebouw'!AN26</f>
        <v>0</v>
      </c>
      <c r="AC11" s="179">
        <f>'Kapitaalslast gebouw'!AO26</f>
        <v>0</v>
      </c>
      <c r="AD11" s="179">
        <f>'Kapitaalslast gebouw'!AP26</f>
        <v>291789.38249999995</v>
      </c>
      <c r="AE11" s="179">
        <f>'Kapitaalslast gebouw'!AQ26</f>
        <v>0</v>
      </c>
      <c r="AF11" s="179">
        <f>'Kapitaalslast gebouw'!AR26</f>
        <v>0</v>
      </c>
      <c r="AG11" s="180">
        <f>SUM(C11:AF11)</f>
        <v>1097643.3929999997</v>
      </c>
      <c r="AI11" s="181"/>
    </row>
    <row r="12" spans="1:35" ht="15.75" x14ac:dyDescent="0.25">
      <c r="A12" s="182"/>
      <c r="B12" s="183" t="s">
        <v>67</v>
      </c>
      <c r="C12" s="179">
        <f>'Onderhoudslast gebouw'!$C$19</f>
        <v>10434</v>
      </c>
      <c r="D12" s="179">
        <f>'Onderhoudslast gebouw'!$C$19</f>
        <v>10434</v>
      </c>
      <c r="E12" s="179">
        <f>'Onderhoudslast gebouw'!$C$19</f>
        <v>10434</v>
      </c>
      <c r="F12" s="179">
        <f>'Onderhoudslast gebouw'!$C$19</f>
        <v>10434</v>
      </c>
      <c r="G12" s="179">
        <f>'Onderhoudslast gebouw'!$C$19</f>
        <v>10434</v>
      </c>
      <c r="H12" s="179">
        <f>'Onderhoudslast gebouw'!$C$19</f>
        <v>10434</v>
      </c>
      <c r="I12" s="179">
        <f>'Onderhoudslast gebouw'!$C$19</f>
        <v>10434</v>
      </c>
      <c r="J12" s="179">
        <f>'Onderhoudslast gebouw'!$C$19</f>
        <v>10434</v>
      </c>
      <c r="K12" s="179">
        <f>'Onderhoudslast gebouw'!$C$19</f>
        <v>10434</v>
      </c>
      <c r="L12" s="179">
        <f>'Onderhoudslast gebouw'!$C$19</f>
        <v>10434</v>
      </c>
      <c r="M12" s="179">
        <f>'Onderhoudslast gebouw'!$C$19</f>
        <v>10434</v>
      </c>
      <c r="N12" s="179">
        <f>'Onderhoudslast gebouw'!$C$19</f>
        <v>10434</v>
      </c>
      <c r="O12" s="179">
        <f>'Onderhoudslast gebouw'!$C$19</f>
        <v>10434</v>
      </c>
      <c r="P12" s="179">
        <f>'Onderhoudslast gebouw'!$C$19</f>
        <v>10434</v>
      </c>
      <c r="Q12" s="179">
        <f>'Onderhoudslast gebouw'!$C$19</f>
        <v>10434</v>
      </c>
      <c r="R12" s="179">
        <f>'Onderhoudslast gebouw'!$C$19</f>
        <v>10434</v>
      </c>
      <c r="S12" s="179">
        <f>'Onderhoudslast gebouw'!$C$19</f>
        <v>10434</v>
      </c>
      <c r="T12" s="179">
        <f>'Onderhoudslast gebouw'!$C$19</f>
        <v>10434</v>
      </c>
      <c r="U12" s="179">
        <f>'Onderhoudslast gebouw'!$C$19</f>
        <v>10434</v>
      </c>
      <c r="V12" s="179">
        <f>'Onderhoudslast gebouw'!$C$19</f>
        <v>10434</v>
      </c>
      <c r="W12" s="179">
        <f>'Onderhoudslast gebouw'!$C$19</f>
        <v>10434</v>
      </c>
      <c r="X12" s="179">
        <f>'Onderhoudslast gebouw'!$C$19</f>
        <v>10434</v>
      </c>
      <c r="Y12" s="179">
        <f>'Onderhoudslast gebouw'!$C$19</f>
        <v>10434</v>
      </c>
      <c r="Z12" s="179">
        <f>'Onderhoudslast gebouw'!$C$19</f>
        <v>10434</v>
      </c>
      <c r="AA12" s="179">
        <f>'Onderhoudslast gebouw'!$C$19</f>
        <v>10434</v>
      </c>
      <c r="AB12" s="179">
        <f>'Onderhoudslast gebouw'!$C$19</f>
        <v>10434</v>
      </c>
      <c r="AC12" s="179">
        <f>'Onderhoudslast gebouw'!$C$19</f>
        <v>10434</v>
      </c>
      <c r="AD12" s="179">
        <f>'Onderhoudslast gebouw'!$C$19</f>
        <v>10434</v>
      </c>
      <c r="AE12" s="179">
        <f>'Onderhoudslast gebouw'!$C$19</f>
        <v>10434</v>
      </c>
      <c r="AF12" s="179">
        <f>'Onderhoudslast gebouw'!$C$19</f>
        <v>10434</v>
      </c>
      <c r="AG12" s="180">
        <f t="shared" ref="AG12:AG14" si="1">SUM(C12:AF12)</f>
        <v>313020</v>
      </c>
    </row>
    <row r="13" spans="1:35" ht="15.75" x14ac:dyDescent="0.25">
      <c r="A13" s="182"/>
      <c r="B13" s="183" t="s">
        <v>68</v>
      </c>
      <c r="C13" s="179"/>
      <c r="D13" s="179">
        <f>'Kapitaalslast buitenruimte'!S73</f>
        <v>4955</v>
      </c>
      <c r="E13" s="179">
        <f>'Kapitaalslast buitenruimte'!T73</f>
        <v>73308</v>
      </c>
      <c r="F13" s="179">
        <f>'Kapitaalslast buitenruimte'!U73</f>
        <v>2033</v>
      </c>
      <c r="G13" s="179">
        <f>'Kapitaalslast buitenruimte'!V73</f>
        <v>0</v>
      </c>
      <c r="H13" s="179">
        <f>'Kapitaalslast buitenruimte'!W73</f>
        <v>1906</v>
      </c>
      <c r="I13" s="179">
        <f>'Kapitaalslast buitenruimte'!X73</f>
        <v>153757</v>
      </c>
      <c r="J13" s="179">
        <f>'Kapitaalslast buitenruimte'!Y73</f>
        <v>4320</v>
      </c>
      <c r="K13" s="179">
        <f>'Kapitaalslast buitenruimte'!Z73</f>
        <v>0</v>
      </c>
      <c r="L13" s="179">
        <f>'Kapitaalslast buitenruimte'!AA73</f>
        <v>2033</v>
      </c>
      <c r="M13" s="179">
        <f>'Kapitaalslast buitenruimte'!AB73</f>
        <v>58443</v>
      </c>
      <c r="N13" s="179">
        <f>'Kapitaalslast buitenruimte'!AC73</f>
        <v>48025</v>
      </c>
      <c r="O13" s="179">
        <f>'Kapitaalslast buitenruimte'!AD73</f>
        <v>6353</v>
      </c>
      <c r="P13" s="179">
        <f>'Kapitaalslast buitenruimte'!AE73</f>
        <v>23378</v>
      </c>
      <c r="Q13" s="179">
        <f>'Kapitaalslast buitenruimte'!AF73</f>
        <v>56538</v>
      </c>
      <c r="R13" s="179">
        <f>'Kapitaalslast buitenruimte'!AG73</f>
        <v>85452</v>
      </c>
      <c r="S13" s="179">
        <f>'Kapitaalslast buitenruimte'!AH73</f>
        <v>62636</v>
      </c>
      <c r="T13" s="179">
        <f>'Kapitaalslast buitenruimte'!AI73</f>
        <v>70767</v>
      </c>
      <c r="U13" s="179">
        <f>'Kapitaalslast buitenruimte'!AJ73</f>
        <v>2033</v>
      </c>
      <c r="V13" s="179">
        <f>'Kapitaalslast buitenruimte'!AK73</f>
        <v>0</v>
      </c>
      <c r="W13" s="179">
        <f>'Kapitaalslast buitenruimte'!AL73</f>
        <v>63729</v>
      </c>
      <c r="X13" s="179">
        <f>'Kapitaalslast buitenruimte'!AM73</f>
        <v>6988</v>
      </c>
      <c r="Y13" s="179">
        <f>'Kapitaalslast buitenruimte'!AN73</f>
        <v>116632</v>
      </c>
      <c r="Z13" s="179">
        <f>'Kapitaalslast buitenruimte'!AO73</f>
        <v>21980</v>
      </c>
      <c r="AA13" s="179">
        <f>'Kapitaalslast buitenruimte'!AP73</f>
        <v>2033</v>
      </c>
      <c r="AB13" s="179">
        <f>'Kapitaalslast buitenruimte'!AQ73</f>
        <v>44976</v>
      </c>
      <c r="AC13" s="179">
        <f>'Kapitaalslast buitenruimte'!AR73</f>
        <v>48025</v>
      </c>
      <c r="AD13" s="179">
        <f>'Kapitaalslast buitenruimte'!AS73</f>
        <v>28333</v>
      </c>
      <c r="AE13" s="179">
        <f>'Kapitaalslast buitenruimte'!AT73</f>
        <v>0</v>
      </c>
      <c r="AF13" s="179">
        <f>'Kapitaalslast buitenruimte'!AU73</f>
        <v>43070</v>
      </c>
      <c r="AG13" s="180">
        <f t="shared" si="1"/>
        <v>1031703</v>
      </c>
    </row>
    <row r="14" spans="1:35" ht="16.5" thickBot="1" x14ac:dyDescent="0.3">
      <c r="A14" s="182"/>
      <c r="B14" s="184" t="s">
        <v>69</v>
      </c>
      <c r="C14" s="185">
        <f>'Onderhoudslast buitenruimte'!$C$102+'Onderhoudslast buitenruimte'!$D$111</f>
        <v>74000</v>
      </c>
      <c r="D14" s="185">
        <f>'Onderhoudslast buitenruimte'!$C$102+'Onderhoudslast buitenruimte'!$D$111</f>
        <v>74000</v>
      </c>
      <c r="E14" s="185">
        <f>'Onderhoudslast buitenruimte'!$C$102+'Onderhoudslast buitenruimte'!$D$111</f>
        <v>74000</v>
      </c>
      <c r="F14" s="185">
        <f>'Onderhoudslast buitenruimte'!$C$102+'Onderhoudslast buitenruimte'!$D$111</f>
        <v>74000</v>
      </c>
      <c r="G14" s="185">
        <f>'Onderhoudslast buitenruimte'!$C$102+'Onderhoudslast buitenruimte'!$D$111</f>
        <v>74000</v>
      </c>
      <c r="H14" s="185">
        <f>'Onderhoudslast buitenruimte'!$C$102+'Onderhoudslast buitenruimte'!$D$111</f>
        <v>74000</v>
      </c>
      <c r="I14" s="185">
        <f>'Onderhoudslast buitenruimte'!$C$102+'Onderhoudslast buitenruimte'!$D$111</f>
        <v>74000</v>
      </c>
      <c r="J14" s="185">
        <f>'Onderhoudslast buitenruimte'!$C$102+'Onderhoudslast buitenruimte'!$D$111</f>
        <v>74000</v>
      </c>
      <c r="K14" s="185">
        <f>'Onderhoudslast buitenruimte'!$C$102+'Onderhoudslast buitenruimte'!$D$111</f>
        <v>74000</v>
      </c>
      <c r="L14" s="185">
        <f>'Onderhoudslast buitenruimte'!$C$102+'Onderhoudslast buitenruimte'!$D$111</f>
        <v>74000</v>
      </c>
      <c r="M14" s="185">
        <f>'Onderhoudslast buitenruimte'!$C$102+'Onderhoudslast buitenruimte'!$D$111</f>
        <v>74000</v>
      </c>
      <c r="N14" s="185">
        <f>'Onderhoudslast buitenruimte'!$C$102+'Onderhoudslast buitenruimte'!$D$111</f>
        <v>74000</v>
      </c>
      <c r="O14" s="185">
        <f>'Onderhoudslast buitenruimte'!$C$102+'Onderhoudslast buitenruimte'!$D$111</f>
        <v>74000</v>
      </c>
      <c r="P14" s="185">
        <f>'Onderhoudslast buitenruimte'!$C$102+'Onderhoudslast buitenruimte'!$D$111</f>
        <v>74000</v>
      </c>
      <c r="Q14" s="185">
        <f>'Onderhoudslast buitenruimte'!$C$102+'Onderhoudslast buitenruimte'!$D$111</f>
        <v>74000</v>
      </c>
      <c r="R14" s="185">
        <f>'Onderhoudslast buitenruimte'!$C$102+'Onderhoudslast buitenruimte'!$D$111</f>
        <v>74000</v>
      </c>
      <c r="S14" s="185">
        <f>'Onderhoudslast buitenruimte'!$C$102+'Onderhoudslast buitenruimte'!$D$111</f>
        <v>74000</v>
      </c>
      <c r="T14" s="185">
        <f>'Onderhoudslast buitenruimte'!$C$102+'Onderhoudslast buitenruimte'!$D$111</f>
        <v>74000</v>
      </c>
      <c r="U14" s="185">
        <f>'Onderhoudslast buitenruimte'!$C$102+'Onderhoudslast buitenruimte'!$D$111</f>
        <v>74000</v>
      </c>
      <c r="V14" s="185">
        <f>'Onderhoudslast buitenruimte'!$C$102+'Onderhoudslast buitenruimte'!$D$111</f>
        <v>74000</v>
      </c>
      <c r="W14" s="185">
        <f>'Onderhoudslast buitenruimte'!$C$102+'Onderhoudslast buitenruimte'!$D$111</f>
        <v>74000</v>
      </c>
      <c r="X14" s="185">
        <f>'Onderhoudslast buitenruimte'!$C$102+'Onderhoudslast buitenruimte'!$D$111</f>
        <v>74000</v>
      </c>
      <c r="Y14" s="185">
        <f>'Onderhoudslast buitenruimte'!$C$102+'Onderhoudslast buitenruimte'!$D$111</f>
        <v>74000</v>
      </c>
      <c r="Z14" s="185">
        <f>'Onderhoudslast buitenruimte'!$C$102+'Onderhoudslast buitenruimte'!$D$111</f>
        <v>74000</v>
      </c>
      <c r="AA14" s="185">
        <f>'Onderhoudslast buitenruimte'!$C$102+'Onderhoudslast buitenruimte'!$D$111</f>
        <v>74000</v>
      </c>
      <c r="AB14" s="185">
        <f>'Onderhoudslast buitenruimte'!$C$102+'Onderhoudslast buitenruimte'!$D$111</f>
        <v>74000</v>
      </c>
      <c r="AC14" s="185">
        <f>'Onderhoudslast buitenruimte'!$C$102+'Onderhoudslast buitenruimte'!$D$111</f>
        <v>74000</v>
      </c>
      <c r="AD14" s="185">
        <f>'Onderhoudslast buitenruimte'!$C$102+'Onderhoudslast buitenruimte'!$D$111</f>
        <v>74000</v>
      </c>
      <c r="AE14" s="185">
        <f>'Onderhoudslast buitenruimte'!$C$102+'Onderhoudslast buitenruimte'!$D$111</f>
        <v>74000</v>
      </c>
      <c r="AF14" s="185">
        <f>'Onderhoudslast buitenruimte'!$C$102+'Onderhoudslast buitenruimte'!$D$111</f>
        <v>74000</v>
      </c>
      <c r="AG14" s="180">
        <f t="shared" si="1"/>
        <v>2220000</v>
      </c>
    </row>
    <row r="15" spans="1:35" ht="16.5" thickBot="1" x14ac:dyDescent="0.3">
      <c r="A15" s="186"/>
      <c r="B15" s="187"/>
      <c r="C15" s="188">
        <f t="shared" ref="C15:AG15" si="2">SUM(C11:C14)</f>
        <v>84434</v>
      </c>
      <c r="D15" s="188">
        <f t="shared" si="2"/>
        <v>89389</v>
      </c>
      <c r="E15" s="188">
        <f t="shared" si="2"/>
        <v>207732.36349999998</v>
      </c>
      <c r="F15" s="188">
        <f t="shared" si="2"/>
        <v>86467</v>
      </c>
      <c r="G15" s="188">
        <f t="shared" si="2"/>
        <v>84434</v>
      </c>
      <c r="H15" s="188">
        <f t="shared" si="2"/>
        <v>86340</v>
      </c>
      <c r="I15" s="188">
        <f t="shared" si="2"/>
        <v>238191</v>
      </c>
      <c r="J15" s="188">
        <f t="shared" si="2"/>
        <v>707567.54149999993</v>
      </c>
      <c r="K15" s="188">
        <f t="shared" si="2"/>
        <v>84434</v>
      </c>
      <c r="L15" s="188">
        <f t="shared" si="2"/>
        <v>86467</v>
      </c>
      <c r="M15" s="188">
        <f t="shared" si="2"/>
        <v>142877</v>
      </c>
      <c r="N15" s="188">
        <f t="shared" si="2"/>
        <v>132459</v>
      </c>
      <c r="O15" s="188">
        <f t="shared" si="2"/>
        <v>90787</v>
      </c>
      <c r="P15" s="188">
        <f t="shared" si="2"/>
        <v>107812</v>
      </c>
      <c r="Q15" s="188">
        <f t="shared" si="2"/>
        <v>140972</v>
      </c>
      <c r="R15" s="188">
        <f t="shared" si="2"/>
        <v>169886</v>
      </c>
      <c r="S15" s="188">
        <f t="shared" si="2"/>
        <v>147070</v>
      </c>
      <c r="T15" s="188">
        <f t="shared" si="2"/>
        <v>292251.10550000001</v>
      </c>
      <c r="U15" s="188">
        <f t="shared" si="2"/>
        <v>86467</v>
      </c>
      <c r="V15" s="188">
        <f t="shared" si="2"/>
        <v>84434</v>
      </c>
      <c r="W15" s="188">
        <f t="shared" si="2"/>
        <v>148163</v>
      </c>
      <c r="X15" s="188">
        <f t="shared" si="2"/>
        <v>91422</v>
      </c>
      <c r="Y15" s="188">
        <f t="shared" si="2"/>
        <v>201066</v>
      </c>
      <c r="Z15" s="188">
        <f t="shared" si="2"/>
        <v>106414</v>
      </c>
      <c r="AA15" s="188">
        <f t="shared" si="2"/>
        <v>86467</v>
      </c>
      <c r="AB15" s="188">
        <f t="shared" si="2"/>
        <v>129410</v>
      </c>
      <c r="AC15" s="188">
        <f t="shared" si="2"/>
        <v>132459</v>
      </c>
      <c r="AD15" s="188">
        <f t="shared" si="2"/>
        <v>404556.38249999995</v>
      </c>
      <c r="AE15" s="188">
        <f t="shared" si="2"/>
        <v>84434</v>
      </c>
      <c r="AF15" s="188">
        <f t="shared" si="2"/>
        <v>127504</v>
      </c>
      <c r="AG15" s="189">
        <f t="shared" si="2"/>
        <v>4662366.3929999992</v>
      </c>
    </row>
    <row r="16" spans="1:35" ht="15.75" thickBot="1" x14ac:dyDescent="0.3"/>
    <row r="17" spans="1:6" ht="16.5" thickBot="1" x14ac:dyDescent="0.3">
      <c r="A17" s="346"/>
      <c r="B17" s="347" t="s">
        <v>70</v>
      </c>
      <c r="C17" s="348"/>
    </row>
    <row r="18" spans="1:6" ht="15.75" x14ac:dyDescent="0.25">
      <c r="A18" s="346"/>
      <c r="B18" s="190" t="s">
        <v>201</v>
      </c>
      <c r="C18" s="191">
        <f>NPV(+$C$7,C15:AF15)</f>
        <v>3735726.4086752376</v>
      </c>
      <c r="E18" s="192"/>
      <c r="F18" s="192"/>
    </row>
    <row r="19" spans="1:6" ht="15.75" x14ac:dyDescent="0.25">
      <c r="A19" s="346"/>
      <c r="B19" s="193" t="s">
        <v>202</v>
      </c>
      <c r="C19" s="194">
        <f xml:space="preserve"> ROUND(C18*(1+$C$7),-2)</f>
        <v>3791800</v>
      </c>
      <c r="E19" s="192"/>
      <c r="F19" s="192"/>
    </row>
    <row r="20" spans="1:6" ht="15.75" x14ac:dyDescent="0.25">
      <c r="A20" s="346"/>
      <c r="B20" s="195"/>
      <c r="C20" s="196"/>
    </row>
    <row r="21" spans="1:6" ht="15.75" x14ac:dyDescent="0.25">
      <c r="A21" s="346"/>
      <c r="B21" s="193" t="s">
        <v>71</v>
      </c>
      <c r="C21" s="194">
        <f>ROUND(PMT($C$7,30,-C19),-2)</f>
        <v>157900</v>
      </c>
      <c r="E21" s="192"/>
      <c r="F21" s="192"/>
    </row>
    <row r="22" spans="1:6" ht="15.75" x14ac:dyDescent="0.25">
      <c r="A22" s="346"/>
      <c r="B22" s="193" t="s">
        <v>72</v>
      </c>
      <c r="C22" s="197">
        <f>ROUND(+C21*$C$3,-2)</f>
        <v>31600</v>
      </c>
      <c r="F22" s="192"/>
    </row>
    <row r="23" spans="1:6" ht="15.75" x14ac:dyDescent="0.25">
      <c r="A23" s="346"/>
      <c r="B23" s="193" t="s">
        <v>73</v>
      </c>
      <c r="C23" s="198">
        <f>+C21-C22</f>
        <v>126300</v>
      </c>
      <c r="E23" s="192"/>
      <c r="F23" s="192"/>
    </row>
    <row r="24" spans="1:6" ht="15.75" x14ac:dyDescent="0.25">
      <c r="A24" s="346"/>
      <c r="B24" s="193" t="s">
        <v>74</v>
      </c>
      <c r="C24" s="197">
        <f>ROUND(+C23*C2,-2)</f>
        <v>31600</v>
      </c>
      <c r="E24" s="192"/>
      <c r="F24" s="192"/>
    </row>
    <row r="25" spans="1:6" ht="16.5" thickBot="1" x14ac:dyDescent="0.3">
      <c r="A25" s="346"/>
      <c r="B25" s="199" t="s">
        <v>75</v>
      </c>
      <c r="C25" s="200">
        <f>+C23-C24</f>
        <v>94700</v>
      </c>
      <c r="D25" s="201"/>
      <c r="E25" s="202"/>
      <c r="F25" s="202"/>
    </row>
    <row r="26" spans="1:6" ht="15.75" x14ac:dyDescent="0.25">
      <c r="B26" s="302" t="s">
        <v>203</v>
      </c>
      <c r="C26" s="303">
        <v>3.5000000000000003E-2</v>
      </c>
    </row>
    <row r="27" spans="1:6" ht="16.5" thickBot="1" x14ac:dyDescent="0.3">
      <c r="B27" s="199" t="s">
        <v>204</v>
      </c>
      <c r="C27" s="200">
        <f>C25+(C25*C26)</f>
        <v>98014.5</v>
      </c>
    </row>
    <row r="28" spans="1:6" ht="15.75" x14ac:dyDescent="0.25">
      <c r="B28" s="302" t="s">
        <v>219</v>
      </c>
      <c r="C28" s="303">
        <v>2.3E-2</v>
      </c>
      <c r="D28" s="203"/>
    </row>
    <row r="29" spans="1:6" ht="16.5" thickBot="1" x14ac:dyDescent="0.3">
      <c r="A29" s="349"/>
      <c r="B29" s="199" t="s">
        <v>204</v>
      </c>
      <c r="C29" s="200">
        <f>C27+(C27*C28)</f>
        <v>100268.83349999999</v>
      </c>
    </row>
    <row r="30" spans="1:6" ht="15.75" x14ac:dyDescent="0.25">
      <c r="A30" s="349"/>
      <c r="B30" s="302" t="s">
        <v>220</v>
      </c>
      <c r="C30" s="303">
        <v>2.7E-2</v>
      </c>
    </row>
    <row r="31" spans="1:6" ht="16.5" thickBot="1" x14ac:dyDescent="0.3">
      <c r="A31" s="349"/>
      <c r="B31" s="199" t="s">
        <v>204</v>
      </c>
      <c r="C31" s="200">
        <f>C29+(C29*C30)</f>
        <v>102976.09200449999</v>
      </c>
      <c r="D31" s="201"/>
    </row>
    <row r="33" spans="2:3" ht="15.75" thickBot="1" x14ac:dyDescent="0.3"/>
    <row r="34" spans="2:3" ht="16.5" thickBot="1" x14ac:dyDescent="0.3">
      <c r="B34" s="347" t="s">
        <v>76</v>
      </c>
      <c r="C34" s="348"/>
    </row>
    <row r="35" spans="2:3" ht="15.75" x14ac:dyDescent="0.25">
      <c r="B35" s="193" t="s">
        <v>71</v>
      </c>
      <c r="C35" s="194">
        <f>C21</f>
        <v>157900</v>
      </c>
    </row>
    <row r="36" spans="2:3" ht="15.75" x14ac:dyDescent="0.25">
      <c r="B36" s="193" t="s">
        <v>77</v>
      </c>
      <c r="C36" s="194">
        <f>C25</f>
        <v>94700</v>
      </c>
    </row>
    <row r="37" spans="2:3" ht="16.5" thickBot="1" x14ac:dyDescent="0.3">
      <c r="B37" s="199" t="s">
        <v>78</v>
      </c>
      <c r="C37" s="204">
        <f>C35-C36</f>
        <v>63200</v>
      </c>
    </row>
    <row r="38" spans="2:3" ht="15.75" x14ac:dyDescent="0.25">
      <c r="B38" s="302" t="s">
        <v>203</v>
      </c>
      <c r="C38" s="303">
        <v>3.5000000000000003E-2</v>
      </c>
    </row>
    <row r="39" spans="2:3" ht="16.5" thickBot="1" x14ac:dyDescent="0.3">
      <c r="B39" s="199" t="s">
        <v>205</v>
      </c>
      <c r="C39" s="200">
        <f>C37+(C37*C38)</f>
        <v>65412</v>
      </c>
    </row>
    <row r="40" spans="2:3" ht="15.75" thickBot="1" x14ac:dyDescent="0.3"/>
    <row r="41" spans="2:3" ht="16.5" thickBot="1" x14ac:dyDescent="0.3">
      <c r="B41" s="347" t="s">
        <v>79</v>
      </c>
      <c r="C41" s="348"/>
    </row>
    <row r="42" spans="2:3" ht="15.75" x14ac:dyDescent="0.25">
      <c r="B42" s="190" t="s">
        <v>80</v>
      </c>
      <c r="C42" s="191">
        <f>C25*30</f>
        <v>2841000</v>
      </c>
    </row>
    <row r="43" spans="2:3" ht="15.75" x14ac:dyDescent="0.25">
      <c r="B43" s="195" t="s">
        <v>81</v>
      </c>
      <c r="C43" s="194">
        <f>'Directe kosten'!C6</f>
        <v>106722</v>
      </c>
    </row>
    <row r="44" spans="2:3" ht="16.5" thickBot="1" x14ac:dyDescent="0.3">
      <c r="B44" s="199" t="s">
        <v>82</v>
      </c>
      <c r="C44" s="204">
        <f>SUM(C42:C43)</f>
        <v>2947722</v>
      </c>
    </row>
    <row r="45" spans="2:3" ht="15.75" x14ac:dyDescent="0.25">
      <c r="B45" s="302" t="s">
        <v>203</v>
      </c>
      <c r="C45" s="303">
        <v>3.5000000000000003E-2</v>
      </c>
    </row>
    <row r="46" spans="2:3" ht="16.5" thickBot="1" x14ac:dyDescent="0.3">
      <c r="B46" s="199" t="s">
        <v>206</v>
      </c>
      <c r="C46" s="200">
        <f>C44+(C44*C45)</f>
        <v>3050892.27</v>
      </c>
    </row>
    <row r="49" spans="2:4" ht="15.75" thickBot="1" x14ac:dyDescent="0.3"/>
    <row r="50" spans="2:4" ht="16.5" thickBot="1" x14ac:dyDescent="0.3">
      <c r="B50" s="350" t="s">
        <v>221</v>
      </c>
      <c r="C50" s="351"/>
    </row>
    <row r="51" spans="2:4" ht="15.75" thickBot="1" x14ac:dyDescent="0.3">
      <c r="B51" s="344" t="s">
        <v>222</v>
      </c>
      <c r="C51" s="345"/>
    </row>
    <row r="52" spans="2:4" x14ac:dyDescent="0.25">
      <c r="B52" s="304" t="s">
        <v>223</v>
      </c>
      <c r="C52" s="305">
        <f>'Kapitaalslast buitenruimte'!R73</f>
        <v>114911</v>
      </c>
      <c r="D52" t="s">
        <v>224</v>
      </c>
    </row>
    <row r="53" spans="2:4" x14ac:dyDescent="0.25">
      <c r="B53" s="306" t="s">
        <v>225</v>
      </c>
      <c r="C53" s="307">
        <v>0</v>
      </c>
      <c r="D53" t="s">
        <v>226</v>
      </c>
    </row>
    <row r="54" spans="2:4" x14ac:dyDescent="0.25">
      <c r="B54" s="308" t="s">
        <v>227</v>
      </c>
      <c r="C54" s="309">
        <f>C52-C53</f>
        <v>114911</v>
      </c>
    </row>
    <row r="55" spans="2:4" x14ac:dyDescent="0.25">
      <c r="B55" s="310" t="s">
        <v>203</v>
      </c>
      <c r="C55" s="311">
        <v>3.5000000000000003E-2</v>
      </c>
    </row>
    <row r="56" spans="2:4" ht="15.75" thickBot="1" x14ac:dyDescent="0.3">
      <c r="B56" s="312" t="s">
        <v>228</v>
      </c>
      <c r="C56" s="313">
        <f>C54+(C54*C55)</f>
        <v>118932.88499999999</v>
      </c>
      <c r="D56" t="s">
        <v>224</v>
      </c>
    </row>
    <row r="57" spans="2:4" x14ac:dyDescent="0.25">
      <c r="B57" s="314"/>
      <c r="C57" s="315"/>
    </row>
    <row r="58" spans="2:4" ht="15.75" thickBot="1" x14ac:dyDescent="0.3">
      <c r="B58" s="314"/>
      <c r="C58" s="314"/>
    </row>
    <row r="59" spans="2:4" ht="15.75" thickBot="1" x14ac:dyDescent="0.3">
      <c r="B59" s="344" t="s">
        <v>229</v>
      </c>
      <c r="C59" s="345"/>
    </row>
    <row r="60" spans="2:4" ht="15.75" x14ac:dyDescent="0.25">
      <c r="B60" s="316" t="s">
        <v>81</v>
      </c>
      <c r="C60" s="317">
        <f>'Directe kosten'!C9</f>
        <v>112058.1</v>
      </c>
    </row>
    <row r="61" spans="2:4" x14ac:dyDescent="0.25">
      <c r="B61" s="318" t="s">
        <v>203</v>
      </c>
      <c r="C61" s="319">
        <v>3.5000000000000003E-2</v>
      </c>
    </row>
    <row r="62" spans="2:4" ht="15.75" thickBot="1" x14ac:dyDescent="0.3">
      <c r="B62" s="320" t="s">
        <v>230</v>
      </c>
      <c r="C62" s="321">
        <f>C60+(C60*C61)</f>
        <v>115980.13350000001</v>
      </c>
      <c r="D62" t="s">
        <v>224</v>
      </c>
    </row>
    <row r="65" spans="2:3" ht="15.75" thickBot="1" x14ac:dyDescent="0.3">
      <c r="B65" s="314"/>
      <c r="C65" s="314"/>
    </row>
    <row r="66" spans="2:3" ht="15.75" x14ac:dyDescent="0.25">
      <c r="B66" s="331" t="s">
        <v>238</v>
      </c>
      <c r="C66" s="332">
        <f>C56+C62</f>
        <v>234913.01850000001</v>
      </c>
    </row>
    <row r="67" spans="2:3" ht="15.75" x14ac:dyDescent="0.25">
      <c r="B67" s="333" t="s">
        <v>219</v>
      </c>
      <c r="C67" s="334">
        <v>2.3E-2</v>
      </c>
    </row>
    <row r="68" spans="2:3" ht="16.5" thickBot="1" x14ac:dyDescent="0.3">
      <c r="B68" s="335" t="s">
        <v>239</v>
      </c>
      <c r="C68" s="336">
        <f>C66+(C66*C67)</f>
        <v>240316.0179255</v>
      </c>
    </row>
    <row r="69" spans="2:3" ht="15.75" x14ac:dyDescent="0.25">
      <c r="B69" s="326" t="s">
        <v>220</v>
      </c>
      <c r="C69" s="334">
        <v>2.7E-2</v>
      </c>
    </row>
    <row r="70" spans="2:3" ht="16.5" thickBot="1" x14ac:dyDescent="0.3">
      <c r="B70" s="337" t="s">
        <v>240</v>
      </c>
      <c r="C70" s="338">
        <f>C68+(C68*C69)</f>
        <v>246804.5504094885</v>
      </c>
    </row>
  </sheetData>
  <mergeCells count="8">
    <mergeCell ref="B59:C59"/>
    <mergeCell ref="A17:A25"/>
    <mergeCell ref="B17:C17"/>
    <mergeCell ref="A29:A31"/>
    <mergeCell ref="B34:C34"/>
    <mergeCell ref="B41:C41"/>
    <mergeCell ref="B50:C50"/>
    <mergeCell ref="B51:C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EE0F-4E1F-400A-B368-B4EDB7A2FEFE}">
  <sheetPr>
    <pageSetUpPr fitToPage="1"/>
  </sheetPr>
  <dimension ref="A1:BC80"/>
  <sheetViews>
    <sheetView topLeftCell="A3" zoomScale="80" zoomScaleNormal="80" zoomScaleSheetLayoutView="85" workbookViewId="0">
      <selection activeCell="F30" sqref="F30:F31"/>
    </sheetView>
  </sheetViews>
  <sheetFormatPr defaultRowHeight="15" x14ac:dyDescent="0.25"/>
  <cols>
    <col min="1" max="1" width="7" customWidth="1"/>
    <col min="2" max="2" width="9.28515625" customWidth="1"/>
    <col min="3" max="3" width="31.28515625" customWidth="1"/>
    <col min="4" max="4" width="61.85546875" bestFit="1" customWidth="1"/>
    <col min="5" max="5" width="8.85546875" bestFit="1" customWidth="1"/>
    <col min="6" max="6" width="11.5703125" bestFit="1" customWidth="1"/>
    <col min="7" max="7" width="13.140625" customWidth="1"/>
    <col min="8" max="8" width="15.85546875" customWidth="1"/>
    <col min="9" max="9" width="17" bestFit="1" customWidth="1"/>
    <col min="10" max="10" width="11" customWidth="1"/>
    <col min="11" max="12" width="9.85546875" customWidth="1"/>
    <col min="13" max="13" width="13.28515625" customWidth="1"/>
    <col min="14" max="14" width="18" customWidth="1"/>
    <col min="15" max="15" width="8.85546875" customWidth="1"/>
    <col min="16" max="16" width="21.7109375" bestFit="1" customWidth="1"/>
    <col min="17" max="19" width="20.140625" bestFit="1" customWidth="1"/>
    <col min="20" max="20" width="22" bestFit="1" customWidth="1"/>
    <col min="21" max="21" width="20.140625" bestFit="1" customWidth="1"/>
    <col min="22" max="22" width="22" bestFit="1" customWidth="1"/>
    <col min="23" max="23" width="19.140625" bestFit="1" customWidth="1"/>
    <col min="24" max="25" width="20.140625" bestFit="1" customWidth="1"/>
    <col min="26" max="26" width="19.7109375" bestFit="1" customWidth="1"/>
    <col min="27" max="29" width="20.140625" bestFit="1" customWidth="1"/>
    <col min="30" max="30" width="19.7109375" bestFit="1" customWidth="1"/>
    <col min="31" max="31" width="20.140625" bestFit="1" customWidth="1"/>
    <col min="32" max="32" width="18.42578125" bestFit="1" customWidth="1"/>
    <col min="33" max="33" width="20.140625" bestFit="1" customWidth="1"/>
    <col min="34" max="34" width="19.7109375" bestFit="1" customWidth="1"/>
    <col min="35" max="39" width="20.140625" bestFit="1" customWidth="1"/>
    <col min="40" max="40" width="19.140625" bestFit="1" customWidth="1"/>
    <col min="41" max="41" width="19.7109375" bestFit="1" customWidth="1"/>
    <col min="42" max="42" width="18.42578125" bestFit="1" customWidth="1"/>
    <col min="43" max="43" width="20.140625" bestFit="1" customWidth="1"/>
    <col min="44" max="44" width="18.42578125" bestFit="1" customWidth="1"/>
    <col min="45" max="45" width="20.140625" bestFit="1" customWidth="1"/>
    <col min="46" max="46" width="19.140625" bestFit="1" customWidth="1"/>
    <col min="47" max="47" width="19.7109375" bestFit="1" customWidth="1"/>
    <col min="48" max="48" width="20.140625" bestFit="1" customWidth="1"/>
    <col min="49" max="49" width="20" bestFit="1" customWidth="1"/>
    <col min="50" max="50" width="18.42578125" bestFit="1" customWidth="1"/>
    <col min="51" max="51" width="20.140625" bestFit="1" customWidth="1"/>
    <col min="52" max="52" width="18.42578125" bestFit="1" customWidth="1"/>
    <col min="53" max="55" width="19.7109375" bestFit="1" customWidth="1"/>
    <col min="254" max="254" width="7" customWidth="1"/>
    <col min="255" max="255" width="9.28515625" customWidth="1"/>
    <col min="256" max="256" width="31.28515625" customWidth="1"/>
    <col min="257" max="257" width="58.85546875" customWidth="1"/>
    <col min="258" max="259" width="0" hidden="1" customWidth="1"/>
    <col min="260" max="260" width="14.7109375" customWidth="1"/>
    <col min="261" max="261" width="17.28515625" customWidth="1"/>
    <col min="262" max="262" width="26" bestFit="1" customWidth="1"/>
    <col min="263" max="263" width="12.140625" bestFit="1" customWidth="1"/>
    <col min="264" max="264" width="12.28515625" customWidth="1"/>
    <col min="265" max="265" width="12.140625" bestFit="1" customWidth="1"/>
    <col min="266" max="266" width="13.5703125" bestFit="1" customWidth="1"/>
    <col min="267" max="267" width="16" customWidth="1"/>
    <col min="268" max="268" width="10" customWidth="1"/>
    <col min="269" max="309" width="15.7109375" customWidth="1"/>
    <col min="310" max="310" width="2.5703125" bestFit="1" customWidth="1"/>
    <col min="510" max="510" width="7" customWidth="1"/>
    <col min="511" max="511" width="9.28515625" customWidth="1"/>
    <col min="512" max="512" width="31.28515625" customWidth="1"/>
    <col min="513" max="513" width="58.85546875" customWidth="1"/>
    <col min="514" max="515" width="0" hidden="1" customWidth="1"/>
    <col min="516" max="516" width="14.7109375" customWidth="1"/>
    <col min="517" max="517" width="17.28515625" customWidth="1"/>
    <col min="518" max="518" width="26" bestFit="1" customWidth="1"/>
    <col min="519" max="519" width="12.140625" bestFit="1" customWidth="1"/>
    <col min="520" max="520" width="12.28515625" customWidth="1"/>
    <col min="521" max="521" width="12.140625" bestFit="1" customWidth="1"/>
    <col min="522" max="522" width="13.5703125" bestFit="1" customWidth="1"/>
    <col min="523" max="523" width="16" customWidth="1"/>
    <col min="524" max="524" width="10" customWidth="1"/>
    <col min="525" max="565" width="15.7109375" customWidth="1"/>
    <col min="566" max="566" width="2.5703125" bestFit="1" customWidth="1"/>
    <col min="766" max="766" width="7" customWidth="1"/>
    <col min="767" max="767" width="9.28515625" customWidth="1"/>
    <col min="768" max="768" width="31.28515625" customWidth="1"/>
    <col min="769" max="769" width="58.85546875" customWidth="1"/>
    <col min="770" max="771" width="0" hidden="1" customWidth="1"/>
    <col min="772" max="772" width="14.7109375" customWidth="1"/>
    <col min="773" max="773" width="17.28515625" customWidth="1"/>
    <col min="774" max="774" width="26" bestFit="1" customWidth="1"/>
    <col min="775" max="775" width="12.140625" bestFit="1" customWidth="1"/>
    <col min="776" max="776" width="12.28515625" customWidth="1"/>
    <col min="777" max="777" width="12.140625" bestFit="1" customWidth="1"/>
    <col min="778" max="778" width="13.5703125" bestFit="1" customWidth="1"/>
    <col min="779" max="779" width="16" customWidth="1"/>
    <col min="780" max="780" width="10" customWidth="1"/>
    <col min="781" max="821" width="15.7109375" customWidth="1"/>
    <col min="822" max="822" width="2.5703125" bestFit="1" customWidth="1"/>
    <col min="1022" max="1022" width="7" customWidth="1"/>
    <col min="1023" max="1023" width="9.28515625" customWidth="1"/>
    <col min="1024" max="1024" width="31.28515625" customWidth="1"/>
    <col min="1025" max="1025" width="58.85546875" customWidth="1"/>
    <col min="1026" max="1027" width="0" hidden="1" customWidth="1"/>
    <col min="1028" max="1028" width="14.7109375" customWidth="1"/>
    <col min="1029" max="1029" width="17.28515625" customWidth="1"/>
    <col min="1030" max="1030" width="26" bestFit="1" customWidth="1"/>
    <col min="1031" max="1031" width="12.140625" bestFit="1" customWidth="1"/>
    <col min="1032" max="1032" width="12.28515625" customWidth="1"/>
    <col min="1033" max="1033" width="12.140625" bestFit="1" customWidth="1"/>
    <col min="1034" max="1034" width="13.5703125" bestFit="1" customWidth="1"/>
    <col min="1035" max="1035" width="16" customWidth="1"/>
    <col min="1036" max="1036" width="10" customWidth="1"/>
    <col min="1037" max="1077" width="15.7109375" customWidth="1"/>
    <col min="1078" max="1078" width="2.5703125" bestFit="1" customWidth="1"/>
    <col min="1278" max="1278" width="7" customWidth="1"/>
    <col min="1279" max="1279" width="9.28515625" customWidth="1"/>
    <col min="1280" max="1280" width="31.28515625" customWidth="1"/>
    <col min="1281" max="1281" width="58.85546875" customWidth="1"/>
    <col min="1282" max="1283" width="0" hidden="1" customWidth="1"/>
    <col min="1284" max="1284" width="14.7109375" customWidth="1"/>
    <col min="1285" max="1285" width="17.28515625" customWidth="1"/>
    <col min="1286" max="1286" width="26" bestFit="1" customWidth="1"/>
    <col min="1287" max="1287" width="12.140625" bestFit="1" customWidth="1"/>
    <col min="1288" max="1288" width="12.28515625" customWidth="1"/>
    <col min="1289" max="1289" width="12.140625" bestFit="1" customWidth="1"/>
    <col min="1290" max="1290" width="13.5703125" bestFit="1" customWidth="1"/>
    <col min="1291" max="1291" width="16" customWidth="1"/>
    <col min="1292" max="1292" width="10" customWidth="1"/>
    <col min="1293" max="1333" width="15.7109375" customWidth="1"/>
    <col min="1334" max="1334" width="2.5703125" bestFit="1" customWidth="1"/>
    <col min="1534" max="1534" width="7" customWidth="1"/>
    <col min="1535" max="1535" width="9.28515625" customWidth="1"/>
    <col min="1536" max="1536" width="31.28515625" customWidth="1"/>
    <col min="1537" max="1537" width="58.85546875" customWidth="1"/>
    <col min="1538" max="1539" width="0" hidden="1" customWidth="1"/>
    <col min="1540" max="1540" width="14.7109375" customWidth="1"/>
    <col min="1541" max="1541" width="17.28515625" customWidth="1"/>
    <col min="1542" max="1542" width="26" bestFit="1" customWidth="1"/>
    <col min="1543" max="1543" width="12.140625" bestFit="1" customWidth="1"/>
    <col min="1544" max="1544" width="12.28515625" customWidth="1"/>
    <col min="1545" max="1545" width="12.140625" bestFit="1" customWidth="1"/>
    <col min="1546" max="1546" width="13.5703125" bestFit="1" customWidth="1"/>
    <col min="1547" max="1547" width="16" customWidth="1"/>
    <col min="1548" max="1548" width="10" customWidth="1"/>
    <col min="1549" max="1589" width="15.7109375" customWidth="1"/>
    <col min="1590" max="1590" width="2.5703125" bestFit="1" customWidth="1"/>
    <col min="1790" max="1790" width="7" customWidth="1"/>
    <col min="1791" max="1791" width="9.28515625" customWidth="1"/>
    <col min="1792" max="1792" width="31.28515625" customWidth="1"/>
    <col min="1793" max="1793" width="58.85546875" customWidth="1"/>
    <col min="1794" max="1795" width="0" hidden="1" customWidth="1"/>
    <col min="1796" max="1796" width="14.7109375" customWidth="1"/>
    <col min="1797" max="1797" width="17.28515625" customWidth="1"/>
    <col min="1798" max="1798" width="26" bestFit="1" customWidth="1"/>
    <col min="1799" max="1799" width="12.140625" bestFit="1" customWidth="1"/>
    <col min="1800" max="1800" width="12.28515625" customWidth="1"/>
    <col min="1801" max="1801" width="12.140625" bestFit="1" customWidth="1"/>
    <col min="1802" max="1802" width="13.5703125" bestFit="1" customWidth="1"/>
    <col min="1803" max="1803" width="16" customWidth="1"/>
    <col min="1804" max="1804" width="10" customWidth="1"/>
    <col min="1805" max="1845" width="15.7109375" customWidth="1"/>
    <col min="1846" max="1846" width="2.5703125" bestFit="1" customWidth="1"/>
    <col min="2046" max="2046" width="7" customWidth="1"/>
    <col min="2047" max="2047" width="9.28515625" customWidth="1"/>
    <col min="2048" max="2048" width="31.28515625" customWidth="1"/>
    <col min="2049" max="2049" width="58.85546875" customWidth="1"/>
    <col min="2050" max="2051" width="0" hidden="1" customWidth="1"/>
    <col min="2052" max="2052" width="14.7109375" customWidth="1"/>
    <col min="2053" max="2053" width="17.28515625" customWidth="1"/>
    <col min="2054" max="2054" width="26" bestFit="1" customWidth="1"/>
    <col min="2055" max="2055" width="12.140625" bestFit="1" customWidth="1"/>
    <col min="2056" max="2056" width="12.28515625" customWidth="1"/>
    <col min="2057" max="2057" width="12.140625" bestFit="1" customWidth="1"/>
    <col min="2058" max="2058" width="13.5703125" bestFit="1" customWidth="1"/>
    <col min="2059" max="2059" width="16" customWidth="1"/>
    <col min="2060" max="2060" width="10" customWidth="1"/>
    <col min="2061" max="2101" width="15.7109375" customWidth="1"/>
    <col min="2102" max="2102" width="2.5703125" bestFit="1" customWidth="1"/>
    <col min="2302" max="2302" width="7" customWidth="1"/>
    <col min="2303" max="2303" width="9.28515625" customWidth="1"/>
    <col min="2304" max="2304" width="31.28515625" customWidth="1"/>
    <col min="2305" max="2305" width="58.85546875" customWidth="1"/>
    <col min="2306" max="2307" width="0" hidden="1" customWidth="1"/>
    <col min="2308" max="2308" width="14.7109375" customWidth="1"/>
    <col min="2309" max="2309" width="17.28515625" customWidth="1"/>
    <col min="2310" max="2310" width="26" bestFit="1" customWidth="1"/>
    <col min="2311" max="2311" width="12.140625" bestFit="1" customWidth="1"/>
    <col min="2312" max="2312" width="12.28515625" customWidth="1"/>
    <col min="2313" max="2313" width="12.140625" bestFit="1" customWidth="1"/>
    <col min="2314" max="2314" width="13.5703125" bestFit="1" customWidth="1"/>
    <col min="2315" max="2315" width="16" customWidth="1"/>
    <col min="2316" max="2316" width="10" customWidth="1"/>
    <col min="2317" max="2357" width="15.7109375" customWidth="1"/>
    <col min="2358" max="2358" width="2.5703125" bestFit="1" customWidth="1"/>
    <col min="2558" max="2558" width="7" customWidth="1"/>
    <col min="2559" max="2559" width="9.28515625" customWidth="1"/>
    <col min="2560" max="2560" width="31.28515625" customWidth="1"/>
    <col min="2561" max="2561" width="58.85546875" customWidth="1"/>
    <col min="2562" max="2563" width="0" hidden="1" customWidth="1"/>
    <col min="2564" max="2564" width="14.7109375" customWidth="1"/>
    <col min="2565" max="2565" width="17.28515625" customWidth="1"/>
    <col min="2566" max="2566" width="26" bestFit="1" customWidth="1"/>
    <col min="2567" max="2567" width="12.140625" bestFit="1" customWidth="1"/>
    <col min="2568" max="2568" width="12.28515625" customWidth="1"/>
    <col min="2569" max="2569" width="12.140625" bestFit="1" customWidth="1"/>
    <col min="2570" max="2570" width="13.5703125" bestFit="1" customWidth="1"/>
    <col min="2571" max="2571" width="16" customWidth="1"/>
    <col min="2572" max="2572" width="10" customWidth="1"/>
    <col min="2573" max="2613" width="15.7109375" customWidth="1"/>
    <col min="2614" max="2614" width="2.5703125" bestFit="1" customWidth="1"/>
    <col min="2814" max="2814" width="7" customWidth="1"/>
    <col min="2815" max="2815" width="9.28515625" customWidth="1"/>
    <col min="2816" max="2816" width="31.28515625" customWidth="1"/>
    <col min="2817" max="2817" width="58.85546875" customWidth="1"/>
    <col min="2818" max="2819" width="0" hidden="1" customWidth="1"/>
    <col min="2820" max="2820" width="14.7109375" customWidth="1"/>
    <col min="2821" max="2821" width="17.28515625" customWidth="1"/>
    <col min="2822" max="2822" width="26" bestFit="1" customWidth="1"/>
    <col min="2823" max="2823" width="12.140625" bestFit="1" customWidth="1"/>
    <col min="2824" max="2824" width="12.28515625" customWidth="1"/>
    <col min="2825" max="2825" width="12.140625" bestFit="1" customWidth="1"/>
    <col min="2826" max="2826" width="13.5703125" bestFit="1" customWidth="1"/>
    <col min="2827" max="2827" width="16" customWidth="1"/>
    <col min="2828" max="2828" width="10" customWidth="1"/>
    <col min="2829" max="2869" width="15.7109375" customWidth="1"/>
    <col min="2870" max="2870" width="2.5703125" bestFit="1" customWidth="1"/>
    <col min="3070" max="3070" width="7" customWidth="1"/>
    <col min="3071" max="3071" width="9.28515625" customWidth="1"/>
    <col min="3072" max="3072" width="31.28515625" customWidth="1"/>
    <col min="3073" max="3073" width="58.85546875" customWidth="1"/>
    <col min="3074" max="3075" width="0" hidden="1" customWidth="1"/>
    <col min="3076" max="3076" width="14.7109375" customWidth="1"/>
    <col min="3077" max="3077" width="17.28515625" customWidth="1"/>
    <col min="3078" max="3078" width="26" bestFit="1" customWidth="1"/>
    <col min="3079" max="3079" width="12.140625" bestFit="1" customWidth="1"/>
    <col min="3080" max="3080" width="12.28515625" customWidth="1"/>
    <col min="3081" max="3081" width="12.140625" bestFit="1" customWidth="1"/>
    <col min="3082" max="3082" width="13.5703125" bestFit="1" customWidth="1"/>
    <col min="3083" max="3083" width="16" customWidth="1"/>
    <col min="3084" max="3084" width="10" customWidth="1"/>
    <col min="3085" max="3125" width="15.7109375" customWidth="1"/>
    <col min="3126" max="3126" width="2.5703125" bestFit="1" customWidth="1"/>
    <col min="3326" max="3326" width="7" customWidth="1"/>
    <col min="3327" max="3327" width="9.28515625" customWidth="1"/>
    <col min="3328" max="3328" width="31.28515625" customWidth="1"/>
    <col min="3329" max="3329" width="58.85546875" customWidth="1"/>
    <col min="3330" max="3331" width="0" hidden="1" customWidth="1"/>
    <col min="3332" max="3332" width="14.7109375" customWidth="1"/>
    <col min="3333" max="3333" width="17.28515625" customWidth="1"/>
    <col min="3334" max="3334" width="26" bestFit="1" customWidth="1"/>
    <col min="3335" max="3335" width="12.140625" bestFit="1" customWidth="1"/>
    <col min="3336" max="3336" width="12.28515625" customWidth="1"/>
    <col min="3337" max="3337" width="12.140625" bestFit="1" customWidth="1"/>
    <col min="3338" max="3338" width="13.5703125" bestFit="1" customWidth="1"/>
    <col min="3339" max="3339" width="16" customWidth="1"/>
    <col min="3340" max="3340" width="10" customWidth="1"/>
    <col min="3341" max="3381" width="15.7109375" customWidth="1"/>
    <col min="3382" max="3382" width="2.5703125" bestFit="1" customWidth="1"/>
    <col min="3582" max="3582" width="7" customWidth="1"/>
    <col min="3583" max="3583" width="9.28515625" customWidth="1"/>
    <col min="3584" max="3584" width="31.28515625" customWidth="1"/>
    <col min="3585" max="3585" width="58.85546875" customWidth="1"/>
    <col min="3586" max="3587" width="0" hidden="1" customWidth="1"/>
    <col min="3588" max="3588" width="14.7109375" customWidth="1"/>
    <col min="3589" max="3589" width="17.28515625" customWidth="1"/>
    <col min="3590" max="3590" width="26" bestFit="1" customWidth="1"/>
    <col min="3591" max="3591" width="12.140625" bestFit="1" customWidth="1"/>
    <col min="3592" max="3592" width="12.28515625" customWidth="1"/>
    <col min="3593" max="3593" width="12.140625" bestFit="1" customWidth="1"/>
    <col min="3594" max="3594" width="13.5703125" bestFit="1" customWidth="1"/>
    <col min="3595" max="3595" width="16" customWidth="1"/>
    <col min="3596" max="3596" width="10" customWidth="1"/>
    <col min="3597" max="3637" width="15.7109375" customWidth="1"/>
    <col min="3638" max="3638" width="2.5703125" bestFit="1" customWidth="1"/>
    <col min="3838" max="3838" width="7" customWidth="1"/>
    <col min="3839" max="3839" width="9.28515625" customWidth="1"/>
    <col min="3840" max="3840" width="31.28515625" customWidth="1"/>
    <col min="3841" max="3841" width="58.85546875" customWidth="1"/>
    <col min="3842" max="3843" width="0" hidden="1" customWidth="1"/>
    <col min="3844" max="3844" width="14.7109375" customWidth="1"/>
    <col min="3845" max="3845" width="17.28515625" customWidth="1"/>
    <col min="3846" max="3846" width="26" bestFit="1" customWidth="1"/>
    <col min="3847" max="3847" width="12.140625" bestFit="1" customWidth="1"/>
    <col min="3848" max="3848" width="12.28515625" customWidth="1"/>
    <col min="3849" max="3849" width="12.140625" bestFit="1" customWidth="1"/>
    <col min="3850" max="3850" width="13.5703125" bestFit="1" customWidth="1"/>
    <col min="3851" max="3851" width="16" customWidth="1"/>
    <col min="3852" max="3852" width="10" customWidth="1"/>
    <col min="3853" max="3893" width="15.7109375" customWidth="1"/>
    <col min="3894" max="3894" width="2.5703125" bestFit="1" customWidth="1"/>
    <col min="4094" max="4094" width="7" customWidth="1"/>
    <col min="4095" max="4095" width="9.28515625" customWidth="1"/>
    <col min="4096" max="4096" width="31.28515625" customWidth="1"/>
    <col min="4097" max="4097" width="58.85546875" customWidth="1"/>
    <col min="4098" max="4099" width="0" hidden="1" customWidth="1"/>
    <col min="4100" max="4100" width="14.7109375" customWidth="1"/>
    <col min="4101" max="4101" width="17.28515625" customWidth="1"/>
    <col min="4102" max="4102" width="26" bestFit="1" customWidth="1"/>
    <col min="4103" max="4103" width="12.140625" bestFit="1" customWidth="1"/>
    <col min="4104" max="4104" width="12.28515625" customWidth="1"/>
    <col min="4105" max="4105" width="12.140625" bestFit="1" customWidth="1"/>
    <col min="4106" max="4106" width="13.5703125" bestFit="1" customWidth="1"/>
    <col min="4107" max="4107" width="16" customWidth="1"/>
    <col min="4108" max="4108" width="10" customWidth="1"/>
    <col min="4109" max="4149" width="15.7109375" customWidth="1"/>
    <col min="4150" max="4150" width="2.5703125" bestFit="1" customWidth="1"/>
    <col min="4350" max="4350" width="7" customWidth="1"/>
    <col min="4351" max="4351" width="9.28515625" customWidth="1"/>
    <col min="4352" max="4352" width="31.28515625" customWidth="1"/>
    <col min="4353" max="4353" width="58.85546875" customWidth="1"/>
    <col min="4354" max="4355" width="0" hidden="1" customWidth="1"/>
    <col min="4356" max="4356" width="14.7109375" customWidth="1"/>
    <col min="4357" max="4357" width="17.28515625" customWidth="1"/>
    <col min="4358" max="4358" width="26" bestFit="1" customWidth="1"/>
    <col min="4359" max="4359" width="12.140625" bestFit="1" customWidth="1"/>
    <col min="4360" max="4360" width="12.28515625" customWidth="1"/>
    <col min="4361" max="4361" width="12.140625" bestFit="1" customWidth="1"/>
    <col min="4362" max="4362" width="13.5703125" bestFit="1" customWidth="1"/>
    <col min="4363" max="4363" width="16" customWidth="1"/>
    <col min="4364" max="4364" width="10" customWidth="1"/>
    <col min="4365" max="4405" width="15.7109375" customWidth="1"/>
    <col min="4406" max="4406" width="2.5703125" bestFit="1" customWidth="1"/>
    <col min="4606" max="4606" width="7" customWidth="1"/>
    <col min="4607" max="4607" width="9.28515625" customWidth="1"/>
    <col min="4608" max="4608" width="31.28515625" customWidth="1"/>
    <col min="4609" max="4609" width="58.85546875" customWidth="1"/>
    <col min="4610" max="4611" width="0" hidden="1" customWidth="1"/>
    <col min="4612" max="4612" width="14.7109375" customWidth="1"/>
    <col min="4613" max="4613" width="17.28515625" customWidth="1"/>
    <col min="4614" max="4614" width="26" bestFit="1" customWidth="1"/>
    <col min="4615" max="4615" width="12.140625" bestFit="1" customWidth="1"/>
    <col min="4616" max="4616" width="12.28515625" customWidth="1"/>
    <col min="4617" max="4617" width="12.140625" bestFit="1" customWidth="1"/>
    <col min="4618" max="4618" width="13.5703125" bestFit="1" customWidth="1"/>
    <col min="4619" max="4619" width="16" customWidth="1"/>
    <col min="4620" max="4620" width="10" customWidth="1"/>
    <col min="4621" max="4661" width="15.7109375" customWidth="1"/>
    <col min="4662" max="4662" width="2.5703125" bestFit="1" customWidth="1"/>
    <col min="4862" max="4862" width="7" customWidth="1"/>
    <col min="4863" max="4863" width="9.28515625" customWidth="1"/>
    <col min="4864" max="4864" width="31.28515625" customWidth="1"/>
    <col min="4865" max="4865" width="58.85546875" customWidth="1"/>
    <col min="4866" max="4867" width="0" hidden="1" customWidth="1"/>
    <col min="4868" max="4868" width="14.7109375" customWidth="1"/>
    <col min="4869" max="4869" width="17.28515625" customWidth="1"/>
    <col min="4870" max="4870" width="26" bestFit="1" customWidth="1"/>
    <col min="4871" max="4871" width="12.140625" bestFit="1" customWidth="1"/>
    <col min="4872" max="4872" width="12.28515625" customWidth="1"/>
    <col min="4873" max="4873" width="12.140625" bestFit="1" customWidth="1"/>
    <col min="4874" max="4874" width="13.5703125" bestFit="1" customWidth="1"/>
    <col min="4875" max="4875" width="16" customWidth="1"/>
    <col min="4876" max="4876" width="10" customWidth="1"/>
    <col min="4877" max="4917" width="15.7109375" customWidth="1"/>
    <col min="4918" max="4918" width="2.5703125" bestFit="1" customWidth="1"/>
    <col min="5118" max="5118" width="7" customWidth="1"/>
    <col min="5119" max="5119" width="9.28515625" customWidth="1"/>
    <col min="5120" max="5120" width="31.28515625" customWidth="1"/>
    <col min="5121" max="5121" width="58.85546875" customWidth="1"/>
    <col min="5122" max="5123" width="0" hidden="1" customWidth="1"/>
    <col min="5124" max="5124" width="14.7109375" customWidth="1"/>
    <col min="5125" max="5125" width="17.28515625" customWidth="1"/>
    <col min="5126" max="5126" width="26" bestFit="1" customWidth="1"/>
    <col min="5127" max="5127" width="12.140625" bestFit="1" customWidth="1"/>
    <col min="5128" max="5128" width="12.28515625" customWidth="1"/>
    <col min="5129" max="5129" width="12.140625" bestFit="1" customWidth="1"/>
    <col min="5130" max="5130" width="13.5703125" bestFit="1" customWidth="1"/>
    <col min="5131" max="5131" width="16" customWidth="1"/>
    <col min="5132" max="5132" width="10" customWidth="1"/>
    <col min="5133" max="5173" width="15.7109375" customWidth="1"/>
    <col min="5174" max="5174" width="2.5703125" bestFit="1" customWidth="1"/>
    <col min="5374" max="5374" width="7" customWidth="1"/>
    <col min="5375" max="5375" width="9.28515625" customWidth="1"/>
    <col min="5376" max="5376" width="31.28515625" customWidth="1"/>
    <col min="5377" max="5377" width="58.85546875" customWidth="1"/>
    <col min="5378" max="5379" width="0" hidden="1" customWidth="1"/>
    <col min="5380" max="5380" width="14.7109375" customWidth="1"/>
    <col min="5381" max="5381" width="17.28515625" customWidth="1"/>
    <col min="5382" max="5382" width="26" bestFit="1" customWidth="1"/>
    <col min="5383" max="5383" width="12.140625" bestFit="1" customWidth="1"/>
    <col min="5384" max="5384" width="12.28515625" customWidth="1"/>
    <col min="5385" max="5385" width="12.140625" bestFit="1" customWidth="1"/>
    <col min="5386" max="5386" width="13.5703125" bestFit="1" customWidth="1"/>
    <col min="5387" max="5387" width="16" customWidth="1"/>
    <col min="5388" max="5388" width="10" customWidth="1"/>
    <col min="5389" max="5429" width="15.7109375" customWidth="1"/>
    <col min="5430" max="5430" width="2.5703125" bestFit="1" customWidth="1"/>
    <col min="5630" max="5630" width="7" customWidth="1"/>
    <col min="5631" max="5631" width="9.28515625" customWidth="1"/>
    <col min="5632" max="5632" width="31.28515625" customWidth="1"/>
    <col min="5633" max="5633" width="58.85546875" customWidth="1"/>
    <col min="5634" max="5635" width="0" hidden="1" customWidth="1"/>
    <col min="5636" max="5636" width="14.7109375" customWidth="1"/>
    <col min="5637" max="5637" width="17.28515625" customWidth="1"/>
    <col min="5638" max="5638" width="26" bestFit="1" customWidth="1"/>
    <col min="5639" max="5639" width="12.140625" bestFit="1" customWidth="1"/>
    <col min="5640" max="5640" width="12.28515625" customWidth="1"/>
    <col min="5641" max="5641" width="12.140625" bestFit="1" customWidth="1"/>
    <col min="5642" max="5642" width="13.5703125" bestFit="1" customWidth="1"/>
    <col min="5643" max="5643" width="16" customWidth="1"/>
    <col min="5644" max="5644" width="10" customWidth="1"/>
    <col min="5645" max="5685" width="15.7109375" customWidth="1"/>
    <col min="5686" max="5686" width="2.5703125" bestFit="1" customWidth="1"/>
    <col min="5886" max="5886" width="7" customWidth="1"/>
    <col min="5887" max="5887" width="9.28515625" customWidth="1"/>
    <col min="5888" max="5888" width="31.28515625" customWidth="1"/>
    <col min="5889" max="5889" width="58.85546875" customWidth="1"/>
    <col min="5890" max="5891" width="0" hidden="1" customWidth="1"/>
    <col min="5892" max="5892" width="14.7109375" customWidth="1"/>
    <col min="5893" max="5893" width="17.28515625" customWidth="1"/>
    <col min="5894" max="5894" width="26" bestFit="1" customWidth="1"/>
    <col min="5895" max="5895" width="12.140625" bestFit="1" customWidth="1"/>
    <col min="5896" max="5896" width="12.28515625" customWidth="1"/>
    <col min="5897" max="5897" width="12.140625" bestFit="1" customWidth="1"/>
    <col min="5898" max="5898" width="13.5703125" bestFit="1" customWidth="1"/>
    <col min="5899" max="5899" width="16" customWidth="1"/>
    <col min="5900" max="5900" width="10" customWidth="1"/>
    <col min="5901" max="5941" width="15.7109375" customWidth="1"/>
    <col min="5942" max="5942" width="2.5703125" bestFit="1" customWidth="1"/>
    <col min="6142" max="6142" width="7" customWidth="1"/>
    <col min="6143" max="6143" width="9.28515625" customWidth="1"/>
    <col min="6144" max="6144" width="31.28515625" customWidth="1"/>
    <col min="6145" max="6145" width="58.85546875" customWidth="1"/>
    <col min="6146" max="6147" width="0" hidden="1" customWidth="1"/>
    <col min="6148" max="6148" width="14.7109375" customWidth="1"/>
    <col min="6149" max="6149" width="17.28515625" customWidth="1"/>
    <col min="6150" max="6150" width="26" bestFit="1" customWidth="1"/>
    <col min="6151" max="6151" width="12.140625" bestFit="1" customWidth="1"/>
    <col min="6152" max="6152" width="12.28515625" customWidth="1"/>
    <col min="6153" max="6153" width="12.140625" bestFit="1" customWidth="1"/>
    <col min="6154" max="6154" width="13.5703125" bestFit="1" customWidth="1"/>
    <col min="6155" max="6155" width="16" customWidth="1"/>
    <col min="6156" max="6156" width="10" customWidth="1"/>
    <col min="6157" max="6197" width="15.7109375" customWidth="1"/>
    <col min="6198" max="6198" width="2.5703125" bestFit="1" customWidth="1"/>
    <col min="6398" max="6398" width="7" customWidth="1"/>
    <col min="6399" max="6399" width="9.28515625" customWidth="1"/>
    <col min="6400" max="6400" width="31.28515625" customWidth="1"/>
    <col min="6401" max="6401" width="58.85546875" customWidth="1"/>
    <col min="6402" max="6403" width="0" hidden="1" customWidth="1"/>
    <col min="6404" max="6404" width="14.7109375" customWidth="1"/>
    <col min="6405" max="6405" width="17.28515625" customWidth="1"/>
    <col min="6406" max="6406" width="26" bestFit="1" customWidth="1"/>
    <col min="6407" max="6407" width="12.140625" bestFit="1" customWidth="1"/>
    <col min="6408" max="6408" width="12.28515625" customWidth="1"/>
    <col min="6409" max="6409" width="12.140625" bestFit="1" customWidth="1"/>
    <col min="6410" max="6410" width="13.5703125" bestFit="1" customWidth="1"/>
    <col min="6411" max="6411" width="16" customWidth="1"/>
    <col min="6412" max="6412" width="10" customWidth="1"/>
    <col min="6413" max="6453" width="15.7109375" customWidth="1"/>
    <col min="6454" max="6454" width="2.5703125" bestFit="1" customWidth="1"/>
    <col min="6654" max="6654" width="7" customWidth="1"/>
    <col min="6655" max="6655" width="9.28515625" customWidth="1"/>
    <col min="6656" max="6656" width="31.28515625" customWidth="1"/>
    <col min="6657" max="6657" width="58.85546875" customWidth="1"/>
    <col min="6658" max="6659" width="0" hidden="1" customWidth="1"/>
    <col min="6660" max="6660" width="14.7109375" customWidth="1"/>
    <col min="6661" max="6661" width="17.28515625" customWidth="1"/>
    <col min="6662" max="6662" width="26" bestFit="1" customWidth="1"/>
    <col min="6663" max="6663" width="12.140625" bestFit="1" customWidth="1"/>
    <col min="6664" max="6664" width="12.28515625" customWidth="1"/>
    <col min="6665" max="6665" width="12.140625" bestFit="1" customWidth="1"/>
    <col min="6666" max="6666" width="13.5703125" bestFit="1" customWidth="1"/>
    <col min="6667" max="6667" width="16" customWidth="1"/>
    <col min="6668" max="6668" width="10" customWidth="1"/>
    <col min="6669" max="6709" width="15.7109375" customWidth="1"/>
    <col min="6710" max="6710" width="2.5703125" bestFit="1" customWidth="1"/>
    <col min="6910" max="6910" width="7" customWidth="1"/>
    <col min="6911" max="6911" width="9.28515625" customWidth="1"/>
    <col min="6912" max="6912" width="31.28515625" customWidth="1"/>
    <col min="6913" max="6913" width="58.85546875" customWidth="1"/>
    <col min="6914" max="6915" width="0" hidden="1" customWidth="1"/>
    <col min="6916" max="6916" width="14.7109375" customWidth="1"/>
    <col min="6917" max="6917" width="17.28515625" customWidth="1"/>
    <col min="6918" max="6918" width="26" bestFit="1" customWidth="1"/>
    <col min="6919" max="6919" width="12.140625" bestFit="1" customWidth="1"/>
    <col min="6920" max="6920" width="12.28515625" customWidth="1"/>
    <col min="6921" max="6921" width="12.140625" bestFit="1" customWidth="1"/>
    <col min="6922" max="6922" width="13.5703125" bestFit="1" customWidth="1"/>
    <col min="6923" max="6923" width="16" customWidth="1"/>
    <col min="6924" max="6924" width="10" customWidth="1"/>
    <col min="6925" max="6965" width="15.7109375" customWidth="1"/>
    <col min="6966" max="6966" width="2.5703125" bestFit="1" customWidth="1"/>
    <col min="7166" max="7166" width="7" customWidth="1"/>
    <col min="7167" max="7167" width="9.28515625" customWidth="1"/>
    <col min="7168" max="7168" width="31.28515625" customWidth="1"/>
    <col min="7169" max="7169" width="58.85546875" customWidth="1"/>
    <col min="7170" max="7171" width="0" hidden="1" customWidth="1"/>
    <col min="7172" max="7172" width="14.7109375" customWidth="1"/>
    <col min="7173" max="7173" width="17.28515625" customWidth="1"/>
    <col min="7174" max="7174" width="26" bestFit="1" customWidth="1"/>
    <col min="7175" max="7175" width="12.140625" bestFit="1" customWidth="1"/>
    <col min="7176" max="7176" width="12.28515625" customWidth="1"/>
    <col min="7177" max="7177" width="12.140625" bestFit="1" customWidth="1"/>
    <col min="7178" max="7178" width="13.5703125" bestFit="1" customWidth="1"/>
    <col min="7179" max="7179" width="16" customWidth="1"/>
    <col min="7180" max="7180" width="10" customWidth="1"/>
    <col min="7181" max="7221" width="15.7109375" customWidth="1"/>
    <col min="7222" max="7222" width="2.5703125" bestFit="1" customWidth="1"/>
    <col min="7422" max="7422" width="7" customWidth="1"/>
    <col min="7423" max="7423" width="9.28515625" customWidth="1"/>
    <col min="7424" max="7424" width="31.28515625" customWidth="1"/>
    <col min="7425" max="7425" width="58.85546875" customWidth="1"/>
    <col min="7426" max="7427" width="0" hidden="1" customWidth="1"/>
    <col min="7428" max="7428" width="14.7109375" customWidth="1"/>
    <col min="7429" max="7429" width="17.28515625" customWidth="1"/>
    <col min="7430" max="7430" width="26" bestFit="1" customWidth="1"/>
    <col min="7431" max="7431" width="12.140625" bestFit="1" customWidth="1"/>
    <col min="7432" max="7432" width="12.28515625" customWidth="1"/>
    <col min="7433" max="7433" width="12.140625" bestFit="1" customWidth="1"/>
    <col min="7434" max="7434" width="13.5703125" bestFit="1" customWidth="1"/>
    <col min="7435" max="7435" width="16" customWidth="1"/>
    <col min="7436" max="7436" width="10" customWidth="1"/>
    <col min="7437" max="7477" width="15.7109375" customWidth="1"/>
    <col min="7478" max="7478" width="2.5703125" bestFit="1" customWidth="1"/>
    <col min="7678" max="7678" width="7" customWidth="1"/>
    <col min="7679" max="7679" width="9.28515625" customWidth="1"/>
    <col min="7680" max="7680" width="31.28515625" customWidth="1"/>
    <col min="7681" max="7681" width="58.85546875" customWidth="1"/>
    <col min="7682" max="7683" width="0" hidden="1" customWidth="1"/>
    <col min="7684" max="7684" width="14.7109375" customWidth="1"/>
    <col min="7685" max="7685" width="17.28515625" customWidth="1"/>
    <col min="7686" max="7686" width="26" bestFit="1" customWidth="1"/>
    <col min="7687" max="7687" width="12.140625" bestFit="1" customWidth="1"/>
    <col min="7688" max="7688" width="12.28515625" customWidth="1"/>
    <col min="7689" max="7689" width="12.140625" bestFit="1" customWidth="1"/>
    <col min="7690" max="7690" width="13.5703125" bestFit="1" customWidth="1"/>
    <col min="7691" max="7691" width="16" customWidth="1"/>
    <col min="7692" max="7692" width="10" customWidth="1"/>
    <col min="7693" max="7733" width="15.7109375" customWidth="1"/>
    <col min="7734" max="7734" width="2.5703125" bestFit="1" customWidth="1"/>
    <col min="7934" max="7934" width="7" customWidth="1"/>
    <col min="7935" max="7935" width="9.28515625" customWidth="1"/>
    <col min="7936" max="7936" width="31.28515625" customWidth="1"/>
    <col min="7937" max="7937" width="58.85546875" customWidth="1"/>
    <col min="7938" max="7939" width="0" hidden="1" customWidth="1"/>
    <col min="7940" max="7940" width="14.7109375" customWidth="1"/>
    <col min="7941" max="7941" width="17.28515625" customWidth="1"/>
    <col min="7942" max="7942" width="26" bestFit="1" customWidth="1"/>
    <col min="7943" max="7943" width="12.140625" bestFit="1" customWidth="1"/>
    <col min="7944" max="7944" width="12.28515625" customWidth="1"/>
    <col min="7945" max="7945" width="12.140625" bestFit="1" customWidth="1"/>
    <col min="7946" max="7946" width="13.5703125" bestFit="1" customWidth="1"/>
    <col min="7947" max="7947" width="16" customWidth="1"/>
    <col min="7948" max="7948" width="10" customWidth="1"/>
    <col min="7949" max="7989" width="15.7109375" customWidth="1"/>
    <col min="7990" max="7990" width="2.5703125" bestFit="1" customWidth="1"/>
    <col min="8190" max="8190" width="7" customWidth="1"/>
    <col min="8191" max="8191" width="9.28515625" customWidth="1"/>
    <col min="8192" max="8192" width="31.28515625" customWidth="1"/>
    <col min="8193" max="8193" width="58.85546875" customWidth="1"/>
    <col min="8194" max="8195" width="0" hidden="1" customWidth="1"/>
    <col min="8196" max="8196" width="14.7109375" customWidth="1"/>
    <col min="8197" max="8197" width="17.28515625" customWidth="1"/>
    <col min="8198" max="8198" width="26" bestFit="1" customWidth="1"/>
    <col min="8199" max="8199" width="12.140625" bestFit="1" customWidth="1"/>
    <col min="8200" max="8200" width="12.28515625" customWidth="1"/>
    <col min="8201" max="8201" width="12.140625" bestFit="1" customWidth="1"/>
    <col min="8202" max="8202" width="13.5703125" bestFit="1" customWidth="1"/>
    <col min="8203" max="8203" width="16" customWidth="1"/>
    <col min="8204" max="8204" width="10" customWidth="1"/>
    <col min="8205" max="8245" width="15.7109375" customWidth="1"/>
    <col min="8246" max="8246" width="2.5703125" bestFit="1" customWidth="1"/>
    <col min="8446" max="8446" width="7" customWidth="1"/>
    <col min="8447" max="8447" width="9.28515625" customWidth="1"/>
    <col min="8448" max="8448" width="31.28515625" customWidth="1"/>
    <col min="8449" max="8449" width="58.85546875" customWidth="1"/>
    <col min="8450" max="8451" width="0" hidden="1" customWidth="1"/>
    <col min="8452" max="8452" width="14.7109375" customWidth="1"/>
    <col min="8453" max="8453" width="17.28515625" customWidth="1"/>
    <col min="8454" max="8454" width="26" bestFit="1" customWidth="1"/>
    <col min="8455" max="8455" width="12.140625" bestFit="1" customWidth="1"/>
    <col min="8456" max="8456" width="12.28515625" customWidth="1"/>
    <col min="8457" max="8457" width="12.140625" bestFit="1" customWidth="1"/>
    <col min="8458" max="8458" width="13.5703125" bestFit="1" customWidth="1"/>
    <col min="8459" max="8459" width="16" customWidth="1"/>
    <col min="8460" max="8460" width="10" customWidth="1"/>
    <col min="8461" max="8501" width="15.7109375" customWidth="1"/>
    <col min="8502" max="8502" width="2.5703125" bestFit="1" customWidth="1"/>
    <col min="8702" max="8702" width="7" customWidth="1"/>
    <col min="8703" max="8703" width="9.28515625" customWidth="1"/>
    <col min="8704" max="8704" width="31.28515625" customWidth="1"/>
    <col min="8705" max="8705" width="58.85546875" customWidth="1"/>
    <col min="8706" max="8707" width="0" hidden="1" customWidth="1"/>
    <col min="8708" max="8708" width="14.7109375" customWidth="1"/>
    <col min="8709" max="8709" width="17.28515625" customWidth="1"/>
    <col min="8710" max="8710" width="26" bestFit="1" customWidth="1"/>
    <col min="8711" max="8711" width="12.140625" bestFit="1" customWidth="1"/>
    <col min="8712" max="8712" width="12.28515625" customWidth="1"/>
    <col min="8713" max="8713" width="12.140625" bestFit="1" customWidth="1"/>
    <col min="8714" max="8714" width="13.5703125" bestFit="1" customWidth="1"/>
    <col min="8715" max="8715" width="16" customWidth="1"/>
    <col min="8716" max="8716" width="10" customWidth="1"/>
    <col min="8717" max="8757" width="15.7109375" customWidth="1"/>
    <col min="8758" max="8758" width="2.5703125" bestFit="1" customWidth="1"/>
    <col min="8958" max="8958" width="7" customWidth="1"/>
    <col min="8959" max="8959" width="9.28515625" customWidth="1"/>
    <col min="8960" max="8960" width="31.28515625" customWidth="1"/>
    <col min="8961" max="8961" width="58.85546875" customWidth="1"/>
    <col min="8962" max="8963" width="0" hidden="1" customWidth="1"/>
    <col min="8964" max="8964" width="14.7109375" customWidth="1"/>
    <col min="8965" max="8965" width="17.28515625" customWidth="1"/>
    <col min="8966" max="8966" width="26" bestFit="1" customWidth="1"/>
    <col min="8967" max="8967" width="12.140625" bestFit="1" customWidth="1"/>
    <col min="8968" max="8968" width="12.28515625" customWidth="1"/>
    <col min="8969" max="8969" width="12.140625" bestFit="1" customWidth="1"/>
    <col min="8970" max="8970" width="13.5703125" bestFit="1" customWidth="1"/>
    <col min="8971" max="8971" width="16" customWidth="1"/>
    <col min="8972" max="8972" width="10" customWidth="1"/>
    <col min="8973" max="9013" width="15.7109375" customWidth="1"/>
    <col min="9014" max="9014" width="2.5703125" bestFit="1" customWidth="1"/>
    <col min="9214" max="9214" width="7" customWidth="1"/>
    <col min="9215" max="9215" width="9.28515625" customWidth="1"/>
    <col min="9216" max="9216" width="31.28515625" customWidth="1"/>
    <col min="9217" max="9217" width="58.85546875" customWidth="1"/>
    <col min="9218" max="9219" width="0" hidden="1" customWidth="1"/>
    <col min="9220" max="9220" width="14.7109375" customWidth="1"/>
    <col min="9221" max="9221" width="17.28515625" customWidth="1"/>
    <col min="9222" max="9222" width="26" bestFit="1" customWidth="1"/>
    <col min="9223" max="9223" width="12.140625" bestFit="1" customWidth="1"/>
    <col min="9224" max="9224" width="12.28515625" customWidth="1"/>
    <col min="9225" max="9225" width="12.140625" bestFit="1" customWidth="1"/>
    <col min="9226" max="9226" width="13.5703125" bestFit="1" customWidth="1"/>
    <col min="9227" max="9227" width="16" customWidth="1"/>
    <col min="9228" max="9228" width="10" customWidth="1"/>
    <col min="9229" max="9269" width="15.7109375" customWidth="1"/>
    <col min="9270" max="9270" width="2.5703125" bestFit="1" customWidth="1"/>
    <col min="9470" max="9470" width="7" customWidth="1"/>
    <col min="9471" max="9471" width="9.28515625" customWidth="1"/>
    <col min="9472" max="9472" width="31.28515625" customWidth="1"/>
    <col min="9473" max="9473" width="58.85546875" customWidth="1"/>
    <col min="9474" max="9475" width="0" hidden="1" customWidth="1"/>
    <col min="9476" max="9476" width="14.7109375" customWidth="1"/>
    <col min="9477" max="9477" width="17.28515625" customWidth="1"/>
    <col min="9478" max="9478" width="26" bestFit="1" customWidth="1"/>
    <col min="9479" max="9479" width="12.140625" bestFit="1" customWidth="1"/>
    <col min="9480" max="9480" width="12.28515625" customWidth="1"/>
    <col min="9481" max="9481" width="12.140625" bestFit="1" customWidth="1"/>
    <col min="9482" max="9482" width="13.5703125" bestFit="1" customWidth="1"/>
    <col min="9483" max="9483" width="16" customWidth="1"/>
    <col min="9484" max="9484" width="10" customWidth="1"/>
    <col min="9485" max="9525" width="15.7109375" customWidth="1"/>
    <col min="9526" max="9526" width="2.5703125" bestFit="1" customWidth="1"/>
    <col min="9726" max="9726" width="7" customWidth="1"/>
    <col min="9727" max="9727" width="9.28515625" customWidth="1"/>
    <col min="9728" max="9728" width="31.28515625" customWidth="1"/>
    <col min="9729" max="9729" width="58.85546875" customWidth="1"/>
    <col min="9730" max="9731" width="0" hidden="1" customWidth="1"/>
    <col min="9732" max="9732" width="14.7109375" customWidth="1"/>
    <col min="9733" max="9733" width="17.28515625" customWidth="1"/>
    <col min="9734" max="9734" width="26" bestFit="1" customWidth="1"/>
    <col min="9735" max="9735" width="12.140625" bestFit="1" customWidth="1"/>
    <col min="9736" max="9736" width="12.28515625" customWidth="1"/>
    <col min="9737" max="9737" width="12.140625" bestFit="1" customWidth="1"/>
    <col min="9738" max="9738" width="13.5703125" bestFit="1" customWidth="1"/>
    <col min="9739" max="9739" width="16" customWidth="1"/>
    <col min="9740" max="9740" width="10" customWidth="1"/>
    <col min="9741" max="9781" width="15.7109375" customWidth="1"/>
    <col min="9782" max="9782" width="2.5703125" bestFit="1" customWidth="1"/>
    <col min="9982" max="9982" width="7" customWidth="1"/>
    <col min="9983" max="9983" width="9.28515625" customWidth="1"/>
    <col min="9984" max="9984" width="31.28515625" customWidth="1"/>
    <col min="9985" max="9985" width="58.85546875" customWidth="1"/>
    <col min="9986" max="9987" width="0" hidden="1" customWidth="1"/>
    <col min="9988" max="9988" width="14.7109375" customWidth="1"/>
    <col min="9989" max="9989" width="17.28515625" customWidth="1"/>
    <col min="9990" max="9990" width="26" bestFit="1" customWidth="1"/>
    <col min="9991" max="9991" width="12.140625" bestFit="1" customWidth="1"/>
    <col min="9992" max="9992" width="12.28515625" customWidth="1"/>
    <col min="9993" max="9993" width="12.140625" bestFit="1" customWidth="1"/>
    <col min="9994" max="9994" width="13.5703125" bestFit="1" customWidth="1"/>
    <col min="9995" max="9995" width="16" customWidth="1"/>
    <col min="9996" max="9996" width="10" customWidth="1"/>
    <col min="9997" max="10037" width="15.7109375" customWidth="1"/>
    <col min="10038" max="10038" width="2.5703125" bestFit="1" customWidth="1"/>
    <col min="10238" max="10238" width="7" customWidth="1"/>
    <col min="10239" max="10239" width="9.28515625" customWidth="1"/>
    <col min="10240" max="10240" width="31.28515625" customWidth="1"/>
    <col min="10241" max="10241" width="58.85546875" customWidth="1"/>
    <col min="10242" max="10243" width="0" hidden="1" customWidth="1"/>
    <col min="10244" max="10244" width="14.7109375" customWidth="1"/>
    <col min="10245" max="10245" width="17.28515625" customWidth="1"/>
    <col min="10246" max="10246" width="26" bestFit="1" customWidth="1"/>
    <col min="10247" max="10247" width="12.140625" bestFit="1" customWidth="1"/>
    <col min="10248" max="10248" width="12.28515625" customWidth="1"/>
    <col min="10249" max="10249" width="12.140625" bestFit="1" customWidth="1"/>
    <col min="10250" max="10250" width="13.5703125" bestFit="1" customWidth="1"/>
    <col min="10251" max="10251" width="16" customWidth="1"/>
    <col min="10252" max="10252" width="10" customWidth="1"/>
    <col min="10253" max="10293" width="15.7109375" customWidth="1"/>
    <col min="10294" max="10294" width="2.5703125" bestFit="1" customWidth="1"/>
    <col min="10494" max="10494" width="7" customWidth="1"/>
    <col min="10495" max="10495" width="9.28515625" customWidth="1"/>
    <col min="10496" max="10496" width="31.28515625" customWidth="1"/>
    <col min="10497" max="10497" width="58.85546875" customWidth="1"/>
    <col min="10498" max="10499" width="0" hidden="1" customWidth="1"/>
    <col min="10500" max="10500" width="14.7109375" customWidth="1"/>
    <col min="10501" max="10501" width="17.28515625" customWidth="1"/>
    <col min="10502" max="10502" width="26" bestFit="1" customWidth="1"/>
    <col min="10503" max="10503" width="12.140625" bestFit="1" customWidth="1"/>
    <col min="10504" max="10504" width="12.28515625" customWidth="1"/>
    <col min="10505" max="10505" width="12.140625" bestFit="1" customWidth="1"/>
    <col min="10506" max="10506" width="13.5703125" bestFit="1" customWidth="1"/>
    <col min="10507" max="10507" width="16" customWidth="1"/>
    <col min="10508" max="10508" width="10" customWidth="1"/>
    <col min="10509" max="10549" width="15.7109375" customWidth="1"/>
    <col min="10550" max="10550" width="2.5703125" bestFit="1" customWidth="1"/>
    <col min="10750" max="10750" width="7" customWidth="1"/>
    <col min="10751" max="10751" width="9.28515625" customWidth="1"/>
    <col min="10752" max="10752" width="31.28515625" customWidth="1"/>
    <col min="10753" max="10753" width="58.85546875" customWidth="1"/>
    <col min="10754" max="10755" width="0" hidden="1" customWidth="1"/>
    <col min="10756" max="10756" width="14.7109375" customWidth="1"/>
    <col min="10757" max="10757" width="17.28515625" customWidth="1"/>
    <col min="10758" max="10758" width="26" bestFit="1" customWidth="1"/>
    <col min="10759" max="10759" width="12.140625" bestFit="1" customWidth="1"/>
    <col min="10760" max="10760" width="12.28515625" customWidth="1"/>
    <col min="10761" max="10761" width="12.140625" bestFit="1" customWidth="1"/>
    <col min="10762" max="10762" width="13.5703125" bestFit="1" customWidth="1"/>
    <col min="10763" max="10763" width="16" customWidth="1"/>
    <col min="10764" max="10764" width="10" customWidth="1"/>
    <col min="10765" max="10805" width="15.7109375" customWidth="1"/>
    <col min="10806" max="10806" width="2.5703125" bestFit="1" customWidth="1"/>
    <col min="11006" max="11006" width="7" customWidth="1"/>
    <col min="11007" max="11007" width="9.28515625" customWidth="1"/>
    <col min="11008" max="11008" width="31.28515625" customWidth="1"/>
    <col min="11009" max="11009" width="58.85546875" customWidth="1"/>
    <col min="11010" max="11011" width="0" hidden="1" customWidth="1"/>
    <col min="11012" max="11012" width="14.7109375" customWidth="1"/>
    <col min="11013" max="11013" width="17.28515625" customWidth="1"/>
    <col min="11014" max="11014" width="26" bestFit="1" customWidth="1"/>
    <col min="11015" max="11015" width="12.140625" bestFit="1" customWidth="1"/>
    <col min="11016" max="11016" width="12.28515625" customWidth="1"/>
    <col min="11017" max="11017" width="12.140625" bestFit="1" customWidth="1"/>
    <col min="11018" max="11018" width="13.5703125" bestFit="1" customWidth="1"/>
    <col min="11019" max="11019" width="16" customWidth="1"/>
    <col min="11020" max="11020" width="10" customWidth="1"/>
    <col min="11021" max="11061" width="15.7109375" customWidth="1"/>
    <col min="11062" max="11062" width="2.5703125" bestFit="1" customWidth="1"/>
    <col min="11262" max="11262" width="7" customWidth="1"/>
    <col min="11263" max="11263" width="9.28515625" customWidth="1"/>
    <col min="11264" max="11264" width="31.28515625" customWidth="1"/>
    <col min="11265" max="11265" width="58.85546875" customWidth="1"/>
    <col min="11266" max="11267" width="0" hidden="1" customWidth="1"/>
    <col min="11268" max="11268" width="14.7109375" customWidth="1"/>
    <col min="11269" max="11269" width="17.28515625" customWidth="1"/>
    <col min="11270" max="11270" width="26" bestFit="1" customWidth="1"/>
    <col min="11271" max="11271" width="12.140625" bestFit="1" customWidth="1"/>
    <col min="11272" max="11272" width="12.28515625" customWidth="1"/>
    <col min="11273" max="11273" width="12.140625" bestFit="1" customWidth="1"/>
    <col min="11274" max="11274" width="13.5703125" bestFit="1" customWidth="1"/>
    <col min="11275" max="11275" width="16" customWidth="1"/>
    <col min="11276" max="11276" width="10" customWidth="1"/>
    <col min="11277" max="11317" width="15.7109375" customWidth="1"/>
    <col min="11318" max="11318" width="2.5703125" bestFit="1" customWidth="1"/>
    <col min="11518" max="11518" width="7" customWidth="1"/>
    <col min="11519" max="11519" width="9.28515625" customWidth="1"/>
    <col min="11520" max="11520" width="31.28515625" customWidth="1"/>
    <col min="11521" max="11521" width="58.85546875" customWidth="1"/>
    <col min="11522" max="11523" width="0" hidden="1" customWidth="1"/>
    <col min="11524" max="11524" width="14.7109375" customWidth="1"/>
    <col min="11525" max="11525" width="17.28515625" customWidth="1"/>
    <col min="11526" max="11526" width="26" bestFit="1" customWidth="1"/>
    <col min="11527" max="11527" width="12.140625" bestFit="1" customWidth="1"/>
    <col min="11528" max="11528" width="12.28515625" customWidth="1"/>
    <col min="11529" max="11529" width="12.140625" bestFit="1" customWidth="1"/>
    <col min="11530" max="11530" width="13.5703125" bestFit="1" customWidth="1"/>
    <col min="11531" max="11531" width="16" customWidth="1"/>
    <col min="11532" max="11532" width="10" customWidth="1"/>
    <col min="11533" max="11573" width="15.7109375" customWidth="1"/>
    <col min="11574" max="11574" width="2.5703125" bestFit="1" customWidth="1"/>
    <col min="11774" max="11774" width="7" customWidth="1"/>
    <col min="11775" max="11775" width="9.28515625" customWidth="1"/>
    <col min="11776" max="11776" width="31.28515625" customWidth="1"/>
    <col min="11777" max="11777" width="58.85546875" customWidth="1"/>
    <col min="11778" max="11779" width="0" hidden="1" customWidth="1"/>
    <col min="11780" max="11780" width="14.7109375" customWidth="1"/>
    <col min="11781" max="11781" width="17.28515625" customWidth="1"/>
    <col min="11782" max="11782" width="26" bestFit="1" customWidth="1"/>
    <col min="11783" max="11783" width="12.140625" bestFit="1" customWidth="1"/>
    <col min="11784" max="11784" width="12.28515625" customWidth="1"/>
    <col min="11785" max="11785" width="12.140625" bestFit="1" customWidth="1"/>
    <col min="11786" max="11786" width="13.5703125" bestFit="1" customWidth="1"/>
    <col min="11787" max="11787" width="16" customWidth="1"/>
    <col min="11788" max="11788" width="10" customWidth="1"/>
    <col min="11789" max="11829" width="15.7109375" customWidth="1"/>
    <col min="11830" max="11830" width="2.5703125" bestFit="1" customWidth="1"/>
    <col min="12030" max="12030" width="7" customWidth="1"/>
    <col min="12031" max="12031" width="9.28515625" customWidth="1"/>
    <col min="12032" max="12032" width="31.28515625" customWidth="1"/>
    <col min="12033" max="12033" width="58.85546875" customWidth="1"/>
    <col min="12034" max="12035" width="0" hidden="1" customWidth="1"/>
    <col min="12036" max="12036" width="14.7109375" customWidth="1"/>
    <col min="12037" max="12037" width="17.28515625" customWidth="1"/>
    <col min="12038" max="12038" width="26" bestFit="1" customWidth="1"/>
    <col min="12039" max="12039" width="12.140625" bestFit="1" customWidth="1"/>
    <col min="12040" max="12040" width="12.28515625" customWidth="1"/>
    <col min="12041" max="12041" width="12.140625" bestFit="1" customWidth="1"/>
    <col min="12042" max="12042" width="13.5703125" bestFit="1" customWidth="1"/>
    <col min="12043" max="12043" width="16" customWidth="1"/>
    <col min="12044" max="12044" width="10" customWidth="1"/>
    <col min="12045" max="12085" width="15.7109375" customWidth="1"/>
    <col min="12086" max="12086" width="2.5703125" bestFit="1" customWidth="1"/>
    <col min="12286" max="12286" width="7" customWidth="1"/>
    <col min="12287" max="12287" width="9.28515625" customWidth="1"/>
    <col min="12288" max="12288" width="31.28515625" customWidth="1"/>
    <col min="12289" max="12289" width="58.85546875" customWidth="1"/>
    <col min="12290" max="12291" width="0" hidden="1" customWidth="1"/>
    <col min="12292" max="12292" width="14.7109375" customWidth="1"/>
    <col min="12293" max="12293" width="17.28515625" customWidth="1"/>
    <col min="12294" max="12294" width="26" bestFit="1" customWidth="1"/>
    <col min="12295" max="12295" width="12.140625" bestFit="1" customWidth="1"/>
    <col min="12296" max="12296" width="12.28515625" customWidth="1"/>
    <col min="12297" max="12297" width="12.140625" bestFit="1" customWidth="1"/>
    <col min="12298" max="12298" width="13.5703125" bestFit="1" customWidth="1"/>
    <col min="12299" max="12299" width="16" customWidth="1"/>
    <col min="12300" max="12300" width="10" customWidth="1"/>
    <col min="12301" max="12341" width="15.7109375" customWidth="1"/>
    <col min="12342" max="12342" width="2.5703125" bestFit="1" customWidth="1"/>
    <col min="12542" max="12542" width="7" customWidth="1"/>
    <col min="12543" max="12543" width="9.28515625" customWidth="1"/>
    <col min="12544" max="12544" width="31.28515625" customWidth="1"/>
    <col min="12545" max="12545" width="58.85546875" customWidth="1"/>
    <col min="12546" max="12547" width="0" hidden="1" customWidth="1"/>
    <col min="12548" max="12548" width="14.7109375" customWidth="1"/>
    <col min="12549" max="12549" width="17.28515625" customWidth="1"/>
    <col min="12550" max="12550" width="26" bestFit="1" customWidth="1"/>
    <col min="12551" max="12551" width="12.140625" bestFit="1" customWidth="1"/>
    <col min="12552" max="12552" width="12.28515625" customWidth="1"/>
    <col min="12553" max="12553" width="12.140625" bestFit="1" customWidth="1"/>
    <col min="12554" max="12554" width="13.5703125" bestFit="1" customWidth="1"/>
    <col min="12555" max="12555" width="16" customWidth="1"/>
    <col min="12556" max="12556" width="10" customWidth="1"/>
    <col min="12557" max="12597" width="15.7109375" customWidth="1"/>
    <col min="12598" max="12598" width="2.5703125" bestFit="1" customWidth="1"/>
    <col min="12798" max="12798" width="7" customWidth="1"/>
    <col min="12799" max="12799" width="9.28515625" customWidth="1"/>
    <col min="12800" max="12800" width="31.28515625" customWidth="1"/>
    <col min="12801" max="12801" width="58.85546875" customWidth="1"/>
    <col min="12802" max="12803" width="0" hidden="1" customWidth="1"/>
    <col min="12804" max="12804" width="14.7109375" customWidth="1"/>
    <col min="12805" max="12805" width="17.28515625" customWidth="1"/>
    <col min="12806" max="12806" width="26" bestFit="1" customWidth="1"/>
    <col min="12807" max="12807" width="12.140625" bestFit="1" customWidth="1"/>
    <col min="12808" max="12808" width="12.28515625" customWidth="1"/>
    <col min="12809" max="12809" width="12.140625" bestFit="1" customWidth="1"/>
    <col min="12810" max="12810" width="13.5703125" bestFit="1" customWidth="1"/>
    <col min="12811" max="12811" width="16" customWidth="1"/>
    <col min="12812" max="12812" width="10" customWidth="1"/>
    <col min="12813" max="12853" width="15.7109375" customWidth="1"/>
    <col min="12854" max="12854" width="2.5703125" bestFit="1" customWidth="1"/>
    <col min="13054" max="13054" width="7" customWidth="1"/>
    <col min="13055" max="13055" width="9.28515625" customWidth="1"/>
    <col min="13056" max="13056" width="31.28515625" customWidth="1"/>
    <col min="13057" max="13057" width="58.85546875" customWidth="1"/>
    <col min="13058" max="13059" width="0" hidden="1" customWidth="1"/>
    <col min="13060" max="13060" width="14.7109375" customWidth="1"/>
    <col min="13061" max="13061" width="17.28515625" customWidth="1"/>
    <col min="13062" max="13062" width="26" bestFit="1" customWidth="1"/>
    <col min="13063" max="13063" width="12.140625" bestFit="1" customWidth="1"/>
    <col min="13064" max="13064" width="12.28515625" customWidth="1"/>
    <col min="13065" max="13065" width="12.140625" bestFit="1" customWidth="1"/>
    <col min="13066" max="13066" width="13.5703125" bestFit="1" customWidth="1"/>
    <col min="13067" max="13067" width="16" customWidth="1"/>
    <col min="13068" max="13068" width="10" customWidth="1"/>
    <col min="13069" max="13109" width="15.7109375" customWidth="1"/>
    <col min="13110" max="13110" width="2.5703125" bestFit="1" customWidth="1"/>
    <col min="13310" max="13310" width="7" customWidth="1"/>
    <col min="13311" max="13311" width="9.28515625" customWidth="1"/>
    <col min="13312" max="13312" width="31.28515625" customWidth="1"/>
    <col min="13313" max="13313" width="58.85546875" customWidth="1"/>
    <col min="13314" max="13315" width="0" hidden="1" customWidth="1"/>
    <col min="13316" max="13316" width="14.7109375" customWidth="1"/>
    <col min="13317" max="13317" width="17.28515625" customWidth="1"/>
    <col min="13318" max="13318" width="26" bestFit="1" customWidth="1"/>
    <col min="13319" max="13319" width="12.140625" bestFit="1" customWidth="1"/>
    <col min="13320" max="13320" width="12.28515625" customWidth="1"/>
    <col min="13321" max="13321" width="12.140625" bestFit="1" customWidth="1"/>
    <col min="13322" max="13322" width="13.5703125" bestFit="1" customWidth="1"/>
    <col min="13323" max="13323" width="16" customWidth="1"/>
    <col min="13324" max="13324" width="10" customWidth="1"/>
    <col min="13325" max="13365" width="15.7109375" customWidth="1"/>
    <col min="13366" max="13366" width="2.5703125" bestFit="1" customWidth="1"/>
    <col min="13566" max="13566" width="7" customWidth="1"/>
    <col min="13567" max="13567" width="9.28515625" customWidth="1"/>
    <col min="13568" max="13568" width="31.28515625" customWidth="1"/>
    <col min="13569" max="13569" width="58.85546875" customWidth="1"/>
    <col min="13570" max="13571" width="0" hidden="1" customWidth="1"/>
    <col min="13572" max="13572" width="14.7109375" customWidth="1"/>
    <col min="13573" max="13573" width="17.28515625" customWidth="1"/>
    <col min="13574" max="13574" width="26" bestFit="1" customWidth="1"/>
    <col min="13575" max="13575" width="12.140625" bestFit="1" customWidth="1"/>
    <col min="13576" max="13576" width="12.28515625" customWidth="1"/>
    <col min="13577" max="13577" width="12.140625" bestFit="1" customWidth="1"/>
    <col min="13578" max="13578" width="13.5703125" bestFit="1" customWidth="1"/>
    <col min="13579" max="13579" width="16" customWidth="1"/>
    <col min="13580" max="13580" width="10" customWidth="1"/>
    <col min="13581" max="13621" width="15.7109375" customWidth="1"/>
    <col min="13622" max="13622" width="2.5703125" bestFit="1" customWidth="1"/>
    <col min="13822" max="13822" width="7" customWidth="1"/>
    <col min="13823" max="13823" width="9.28515625" customWidth="1"/>
    <col min="13824" max="13824" width="31.28515625" customWidth="1"/>
    <col min="13825" max="13825" width="58.85546875" customWidth="1"/>
    <col min="13826" max="13827" width="0" hidden="1" customWidth="1"/>
    <col min="13828" max="13828" width="14.7109375" customWidth="1"/>
    <col min="13829" max="13829" width="17.28515625" customWidth="1"/>
    <col min="13830" max="13830" width="26" bestFit="1" customWidth="1"/>
    <col min="13831" max="13831" width="12.140625" bestFit="1" customWidth="1"/>
    <col min="13832" max="13832" width="12.28515625" customWidth="1"/>
    <col min="13833" max="13833" width="12.140625" bestFit="1" customWidth="1"/>
    <col min="13834" max="13834" width="13.5703125" bestFit="1" customWidth="1"/>
    <col min="13835" max="13835" width="16" customWidth="1"/>
    <col min="13836" max="13836" width="10" customWidth="1"/>
    <col min="13837" max="13877" width="15.7109375" customWidth="1"/>
    <col min="13878" max="13878" width="2.5703125" bestFit="1" customWidth="1"/>
    <col min="14078" max="14078" width="7" customWidth="1"/>
    <col min="14079" max="14079" width="9.28515625" customWidth="1"/>
    <col min="14080" max="14080" width="31.28515625" customWidth="1"/>
    <col min="14081" max="14081" width="58.85546875" customWidth="1"/>
    <col min="14082" max="14083" width="0" hidden="1" customWidth="1"/>
    <col min="14084" max="14084" width="14.7109375" customWidth="1"/>
    <col min="14085" max="14085" width="17.28515625" customWidth="1"/>
    <col min="14086" max="14086" width="26" bestFit="1" customWidth="1"/>
    <col min="14087" max="14087" width="12.140625" bestFit="1" customWidth="1"/>
    <col min="14088" max="14088" width="12.28515625" customWidth="1"/>
    <col min="14089" max="14089" width="12.140625" bestFit="1" customWidth="1"/>
    <col min="14090" max="14090" width="13.5703125" bestFit="1" customWidth="1"/>
    <col min="14091" max="14091" width="16" customWidth="1"/>
    <col min="14092" max="14092" width="10" customWidth="1"/>
    <col min="14093" max="14133" width="15.7109375" customWidth="1"/>
    <col min="14134" max="14134" width="2.5703125" bestFit="1" customWidth="1"/>
    <col min="14334" max="14334" width="7" customWidth="1"/>
    <col min="14335" max="14335" width="9.28515625" customWidth="1"/>
    <col min="14336" max="14336" width="31.28515625" customWidth="1"/>
    <col min="14337" max="14337" width="58.85546875" customWidth="1"/>
    <col min="14338" max="14339" width="0" hidden="1" customWidth="1"/>
    <col min="14340" max="14340" width="14.7109375" customWidth="1"/>
    <col min="14341" max="14341" width="17.28515625" customWidth="1"/>
    <col min="14342" max="14342" width="26" bestFit="1" customWidth="1"/>
    <col min="14343" max="14343" width="12.140625" bestFit="1" customWidth="1"/>
    <col min="14344" max="14344" width="12.28515625" customWidth="1"/>
    <col min="14345" max="14345" width="12.140625" bestFit="1" customWidth="1"/>
    <col min="14346" max="14346" width="13.5703125" bestFit="1" customWidth="1"/>
    <col min="14347" max="14347" width="16" customWidth="1"/>
    <col min="14348" max="14348" width="10" customWidth="1"/>
    <col min="14349" max="14389" width="15.7109375" customWidth="1"/>
    <col min="14390" max="14390" width="2.5703125" bestFit="1" customWidth="1"/>
    <col min="14590" max="14590" width="7" customWidth="1"/>
    <col min="14591" max="14591" width="9.28515625" customWidth="1"/>
    <col min="14592" max="14592" width="31.28515625" customWidth="1"/>
    <col min="14593" max="14593" width="58.85546875" customWidth="1"/>
    <col min="14594" max="14595" width="0" hidden="1" customWidth="1"/>
    <col min="14596" max="14596" width="14.7109375" customWidth="1"/>
    <col min="14597" max="14597" width="17.28515625" customWidth="1"/>
    <col min="14598" max="14598" width="26" bestFit="1" customWidth="1"/>
    <col min="14599" max="14599" width="12.140625" bestFit="1" customWidth="1"/>
    <col min="14600" max="14600" width="12.28515625" customWidth="1"/>
    <col min="14601" max="14601" width="12.140625" bestFit="1" customWidth="1"/>
    <col min="14602" max="14602" width="13.5703125" bestFit="1" customWidth="1"/>
    <col min="14603" max="14603" width="16" customWidth="1"/>
    <col min="14604" max="14604" width="10" customWidth="1"/>
    <col min="14605" max="14645" width="15.7109375" customWidth="1"/>
    <col min="14646" max="14646" width="2.5703125" bestFit="1" customWidth="1"/>
    <col min="14846" max="14846" width="7" customWidth="1"/>
    <col min="14847" max="14847" width="9.28515625" customWidth="1"/>
    <col min="14848" max="14848" width="31.28515625" customWidth="1"/>
    <col min="14849" max="14849" width="58.85546875" customWidth="1"/>
    <col min="14850" max="14851" width="0" hidden="1" customWidth="1"/>
    <col min="14852" max="14852" width="14.7109375" customWidth="1"/>
    <col min="14853" max="14853" width="17.28515625" customWidth="1"/>
    <col min="14854" max="14854" width="26" bestFit="1" customWidth="1"/>
    <col min="14855" max="14855" width="12.140625" bestFit="1" customWidth="1"/>
    <col min="14856" max="14856" width="12.28515625" customWidth="1"/>
    <col min="14857" max="14857" width="12.140625" bestFit="1" customWidth="1"/>
    <col min="14858" max="14858" width="13.5703125" bestFit="1" customWidth="1"/>
    <col min="14859" max="14859" width="16" customWidth="1"/>
    <col min="14860" max="14860" width="10" customWidth="1"/>
    <col min="14861" max="14901" width="15.7109375" customWidth="1"/>
    <col min="14902" max="14902" width="2.5703125" bestFit="1" customWidth="1"/>
    <col min="15102" max="15102" width="7" customWidth="1"/>
    <col min="15103" max="15103" width="9.28515625" customWidth="1"/>
    <col min="15104" max="15104" width="31.28515625" customWidth="1"/>
    <col min="15105" max="15105" width="58.85546875" customWidth="1"/>
    <col min="15106" max="15107" width="0" hidden="1" customWidth="1"/>
    <col min="15108" max="15108" width="14.7109375" customWidth="1"/>
    <col min="15109" max="15109" width="17.28515625" customWidth="1"/>
    <col min="15110" max="15110" width="26" bestFit="1" customWidth="1"/>
    <col min="15111" max="15111" width="12.140625" bestFit="1" customWidth="1"/>
    <col min="15112" max="15112" width="12.28515625" customWidth="1"/>
    <col min="15113" max="15113" width="12.140625" bestFit="1" customWidth="1"/>
    <col min="15114" max="15114" width="13.5703125" bestFit="1" customWidth="1"/>
    <col min="15115" max="15115" width="16" customWidth="1"/>
    <col min="15116" max="15116" width="10" customWidth="1"/>
    <col min="15117" max="15157" width="15.7109375" customWidth="1"/>
    <col min="15158" max="15158" width="2.5703125" bestFit="1" customWidth="1"/>
    <col min="15358" max="15358" width="7" customWidth="1"/>
    <col min="15359" max="15359" width="9.28515625" customWidth="1"/>
    <col min="15360" max="15360" width="31.28515625" customWidth="1"/>
    <col min="15361" max="15361" width="58.85546875" customWidth="1"/>
    <col min="15362" max="15363" width="0" hidden="1" customWidth="1"/>
    <col min="15364" max="15364" width="14.7109375" customWidth="1"/>
    <col min="15365" max="15365" width="17.28515625" customWidth="1"/>
    <col min="15366" max="15366" width="26" bestFit="1" customWidth="1"/>
    <col min="15367" max="15367" width="12.140625" bestFit="1" customWidth="1"/>
    <col min="15368" max="15368" width="12.28515625" customWidth="1"/>
    <col min="15369" max="15369" width="12.140625" bestFit="1" customWidth="1"/>
    <col min="15370" max="15370" width="13.5703125" bestFit="1" customWidth="1"/>
    <col min="15371" max="15371" width="16" customWidth="1"/>
    <col min="15372" max="15372" width="10" customWidth="1"/>
    <col min="15373" max="15413" width="15.7109375" customWidth="1"/>
    <col min="15414" max="15414" width="2.5703125" bestFit="1" customWidth="1"/>
    <col min="15614" max="15614" width="7" customWidth="1"/>
    <col min="15615" max="15615" width="9.28515625" customWidth="1"/>
    <col min="15616" max="15616" width="31.28515625" customWidth="1"/>
    <col min="15617" max="15617" width="58.85546875" customWidth="1"/>
    <col min="15618" max="15619" width="0" hidden="1" customWidth="1"/>
    <col min="15620" max="15620" width="14.7109375" customWidth="1"/>
    <col min="15621" max="15621" width="17.28515625" customWidth="1"/>
    <col min="15622" max="15622" width="26" bestFit="1" customWidth="1"/>
    <col min="15623" max="15623" width="12.140625" bestFit="1" customWidth="1"/>
    <col min="15624" max="15624" width="12.28515625" customWidth="1"/>
    <col min="15625" max="15625" width="12.140625" bestFit="1" customWidth="1"/>
    <col min="15626" max="15626" width="13.5703125" bestFit="1" customWidth="1"/>
    <col min="15627" max="15627" width="16" customWidth="1"/>
    <col min="15628" max="15628" width="10" customWidth="1"/>
    <col min="15629" max="15669" width="15.7109375" customWidth="1"/>
    <col min="15670" max="15670" width="2.5703125" bestFit="1" customWidth="1"/>
    <col min="15870" max="15870" width="7" customWidth="1"/>
    <col min="15871" max="15871" width="9.28515625" customWidth="1"/>
    <col min="15872" max="15872" width="31.28515625" customWidth="1"/>
    <col min="15873" max="15873" width="58.85546875" customWidth="1"/>
    <col min="15874" max="15875" width="0" hidden="1" customWidth="1"/>
    <col min="15876" max="15876" width="14.7109375" customWidth="1"/>
    <col min="15877" max="15877" width="17.28515625" customWidth="1"/>
    <col min="15878" max="15878" width="26" bestFit="1" customWidth="1"/>
    <col min="15879" max="15879" width="12.140625" bestFit="1" customWidth="1"/>
    <col min="15880" max="15880" width="12.28515625" customWidth="1"/>
    <col min="15881" max="15881" width="12.140625" bestFit="1" customWidth="1"/>
    <col min="15882" max="15882" width="13.5703125" bestFit="1" customWidth="1"/>
    <col min="15883" max="15883" width="16" customWidth="1"/>
    <col min="15884" max="15884" width="10" customWidth="1"/>
    <col min="15885" max="15925" width="15.7109375" customWidth="1"/>
    <col min="15926" max="15926" width="2.5703125" bestFit="1" customWidth="1"/>
    <col min="16126" max="16126" width="7" customWidth="1"/>
    <col min="16127" max="16127" width="9.28515625" customWidth="1"/>
    <col min="16128" max="16128" width="31.28515625" customWidth="1"/>
    <col min="16129" max="16129" width="58.85546875" customWidth="1"/>
    <col min="16130" max="16131" width="0" hidden="1" customWidth="1"/>
    <col min="16132" max="16132" width="14.7109375" customWidth="1"/>
    <col min="16133" max="16133" width="17.28515625" customWidth="1"/>
    <col min="16134" max="16134" width="26" bestFit="1" customWidth="1"/>
    <col min="16135" max="16135" width="12.140625" bestFit="1" customWidth="1"/>
    <col min="16136" max="16136" width="12.28515625" customWidth="1"/>
    <col min="16137" max="16137" width="12.140625" bestFit="1" customWidth="1"/>
    <col min="16138" max="16138" width="13.5703125" bestFit="1" customWidth="1"/>
    <col min="16139" max="16139" width="16" customWidth="1"/>
    <col min="16140" max="16140" width="10" customWidth="1"/>
    <col min="16141" max="16181" width="15.7109375" customWidth="1"/>
    <col min="16182" max="16182" width="2.5703125" bestFit="1" customWidth="1"/>
  </cols>
  <sheetData>
    <row r="1" spans="1:55" s="3" customFormat="1" ht="26.25" x14ac:dyDescent="0.4">
      <c r="A1" s="1" t="s">
        <v>51</v>
      </c>
      <c r="B1" s="2"/>
      <c r="H1" s="4"/>
      <c r="I1" s="4"/>
      <c r="J1" s="4"/>
      <c r="K1" s="4"/>
      <c r="L1" s="4"/>
      <c r="M1" s="5"/>
      <c r="N1" s="6"/>
      <c r="O1" s="6"/>
      <c r="P1" s="7"/>
      <c r="AC1" s="8"/>
    </row>
    <row r="2" spans="1:55" s="3" customFormat="1" thickBot="1" x14ac:dyDescent="0.25">
      <c r="A2" s="6"/>
      <c r="B2" s="6"/>
      <c r="H2" s="4"/>
      <c r="I2" s="4"/>
      <c r="J2" s="4"/>
      <c r="K2" s="4"/>
      <c r="L2" s="4"/>
      <c r="M2" s="5"/>
      <c r="N2" s="6"/>
      <c r="O2" s="6"/>
      <c r="AC2" s="8"/>
    </row>
    <row r="3" spans="1:55" s="3" customFormat="1" ht="14.25" x14ac:dyDescent="0.2">
      <c r="A3" s="9" t="s">
        <v>0</v>
      </c>
      <c r="B3" s="10"/>
      <c r="C3" s="11" t="s">
        <v>1</v>
      </c>
      <c r="H3" s="106" t="s">
        <v>2</v>
      </c>
      <c r="I3" s="4"/>
      <c r="J3" s="124" t="s">
        <v>3</v>
      </c>
      <c r="K3" s="4"/>
      <c r="L3" s="4"/>
      <c r="M3" s="5"/>
      <c r="N3" s="6"/>
      <c r="O3" s="6"/>
      <c r="AC3" s="8"/>
    </row>
    <row r="4" spans="1:55" s="3" customFormat="1" ht="14.25" x14ac:dyDescent="0.2">
      <c r="A4" s="13" t="s">
        <v>4</v>
      </c>
      <c r="B4" s="14"/>
      <c r="C4" s="15" t="s">
        <v>5</v>
      </c>
      <c r="H4" s="106" t="s">
        <v>6</v>
      </c>
      <c r="I4" s="4"/>
      <c r="J4" s="124" t="s">
        <v>7</v>
      </c>
      <c r="K4" s="4"/>
      <c r="L4" s="4"/>
      <c r="M4" s="5"/>
      <c r="N4" s="6"/>
      <c r="O4" s="6"/>
      <c r="AC4" s="8"/>
    </row>
    <row r="5" spans="1:55" s="3" customFormat="1" ht="14.25" x14ac:dyDescent="0.2">
      <c r="A5" s="13" t="s">
        <v>8</v>
      </c>
      <c r="B5" s="14"/>
      <c r="C5" s="15" t="s">
        <v>9</v>
      </c>
      <c r="H5" s="106" t="s">
        <v>10</v>
      </c>
      <c r="I5" s="4"/>
      <c r="J5" s="124" t="s">
        <v>11</v>
      </c>
      <c r="K5" s="4"/>
      <c r="L5" s="4"/>
      <c r="M5" s="5"/>
      <c r="N5" s="6"/>
      <c r="O5" s="6"/>
      <c r="AC5" s="8"/>
    </row>
    <row r="6" spans="1:55" s="3" customFormat="1" ht="14.25" x14ac:dyDescent="0.2">
      <c r="A6" s="13" t="s">
        <v>52</v>
      </c>
      <c r="B6" s="14"/>
      <c r="C6" s="16" t="s">
        <v>53</v>
      </c>
      <c r="H6" s="12"/>
      <c r="I6" s="4"/>
      <c r="J6" s="124"/>
      <c r="K6" s="4"/>
      <c r="L6" s="4"/>
      <c r="M6" s="5"/>
      <c r="N6" s="6"/>
      <c r="O6" s="6"/>
      <c r="AC6" s="8"/>
    </row>
    <row r="7" spans="1:55" s="3" customFormat="1" thickBot="1" x14ac:dyDescent="0.25">
      <c r="A7" s="17" t="s">
        <v>12</v>
      </c>
      <c r="B7" s="18"/>
      <c r="C7" s="19">
        <f ca="1">TODAY()</f>
        <v>46150</v>
      </c>
      <c r="H7" s="20"/>
      <c r="I7" s="4"/>
      <c r="J7" s="4"/>
      <c r="K7" s="4"/>
      <c r="L7" s="4"/>
      <c r="M7" s="21"/>
      <c r="N7" s="6"/>
      <c r="O7" s="6"/>
      <c r="AC7" s="8"/>
    </row>
    <row r="8" spans="1:55" s="3" customFormat="1" thickBot="1" x14ac:dyDescent="0.25">
      <c r="A8" s="6"/>
      <c r="B8" s="6"/>
      <c r="H8" s="22"/>
      <c r="I8" s="4"/>
      <c r="J8" s="4"/>
      <c r="K8" s="4"/>
      <c r="L8" s="6"/>
      <c r="M8" s="21"/>
      <c r="N8" s="6"/>
      <c r="O8" s="6"/>
      <c r="AC8" s="8"/>
    </row>
    <row r="9" spans="1:55" s="3" customFormat="1" ht="15" customHeight="1" thickBot="1" x14ac:dyDescent="0.3">
      <c r="A9" s="24"/>
      <c r="B9" s="24"/>
      <c r="C9" s="25"/>
      <c r="D9" s="23"/>
      <c r="E9" s="23"/>
      <c r="F9" s="23"/>
      <c r="G9" s="23"/>
      <c r="H9" s="26"/>
      <c r="I9" s="26"/>
      <c r="J9" s="26"/>
      <c r="K9" s="26"/>
      <c r="L9" s="26"/>
      <c r="M9" s="27"/>
      <c r="N9" s="26"/>
      <c r="O9" s="26"/>
      <c r="P9" s="28" t="s">
        <v>13</v>
      </c>
      <c r="Q9" s="29"/>
      <c r="R9" s="28" t="s">
        <v>14</v>
      </c>
      <c r="S9" s="30"/>
      <c r="T9" s="31"/>
      <c r="U9" s="28" t="s">
        <v>15</v>
      </c>
      <c r="V9" s="32"/>
      <c r="W9" s="33"/>
      <c r="X9" s="32"/>
      <c r="Y9" s="34"/>
      <c r="Z9" s="35" t="s">
        <v>15</v>
      </c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7"/>
    </row>
    <row r="10" spans="1:55" s="3" customFormat="1" ht="30.75" customHeight="1" thickBot="1" x14ac:dyDescent="0.3">
      <c r="A10" s="38"/>
      <c r="B10" s="38" t="s">
        <v>16</v>
      </c>
      <c r="C10" s="39" t="s">
        <v>17</v>
      </c>
      <c r="D10" s="40" t="s">
        <v>18</v>
      </c>
      <c r="E10" s="40" t="s">
        <v>19</v>
      </c>
      <c r="F10" s="41" t="s">
        <v>165</v>
      </c>
      <c r="G10" s="41" t="s">
        <v>56</v>
      </c>
      <c r="H10" s="41" t="s">
        <v>20</v>
      </c>
      <c r="I10" s="42" t="s">
        <v>21</v>
      </c>
      <c r="J10" s="41" t="s">
        <v>22</v>
      </c>
      <c r="K10" s="41" t="s">
        <v>23</v>
      </c>
      <c r="L10" s="41" t="s">
        <v>24</v>
      </c>
      <c r="M10" s="41" t="s">
        <v>25</v>
      </c>
      <c r="N10" s="43" t="s">
        <v>26</v>
      </c>
      <c r="O10" s="125" t="s">
        <v>27</v>
      </c>
      <c r="P10" s="44">
        <v>2023</v>
      </c>
      <c r="Q10" s="45">
        <v>2024</v>
      </c>
      <c r="R10" s="44">
        <v>2025</v>
      </c>
      <c r="S10" s="46">
        <v>2026</v>
      </c>
      <c r="T10" s="45">
        <v>2027</v>
      </c>
      <c r="U10" s="44">
        <v>2028</v>
      </c>
      <c r="V10" s="46">
        <v>2029</v>
      </c>
      <c r="W10" s="46">
        <v>2030</v>
      </c>
      <c r="X10" s="46">
        <v>2031</v>
      </c>
      <c r="Y10" s="45">
        <v>2032</v>
      </c>
      <c r="Z10" s="46">
        <v>2033</v>
      </c>
      <c r="AA10" s="46">
        <v>2034</v>
      </c>
      <c r="AB10" s="46">
        <v>2035</v>
      </c>
      <c r="AC10" s="46">
        <v>2036</v>
      </c>
      <c r="AD10" s="46">
        <v>2037</v>
      </c>
      <c r="AE10" s="46">
        <v>2038</v>
      </c>
      <c r="AF10" s="46">
        <v>2039</v>
      </c>
      <c r="AG10" s="46">
        <v>2040</v>
      </c>
      <c r="AH10" s="46">
        <v>2041</v>
      </c>
      <c r="AI10" s="46">
        <v>2042</v>
      </c>
      <c r="AJ10" s="46">
        <v>2043</v>
      </c>
      <c r="AK10" s="46">
        <v>2044</v>
      </c>
      <c r="AL10" s="46">
        <v>2045</v>
      </c>
      <c r="AM10" s="46">
        <v>2046</v>
      </c>
      <c r="AN10" s="46">
        <v>2047</v>
      </c>
      <c r="AO10" s="46">
        <v>2048</v>
      </c>
      <c r="AP10" s="46">
        <v>2049</v>
      </c>
      <c r="AQ10" s="46">
        <v>2050</v>
      </c>
      <c r="AR10" s="46">
        <v>2051</v>
      </c>
      <c r="AS10" s="46">
        <v>2052</v>
      </c>
      <c r="AT10" s="46">
        <v>2053</v>
      </c>
      <c r="AU10" s="46">
        <v>2054</v>
      </c>
      <c r="AV10" s="46">
        <v>2055</v>
      </c>
      <c r="AW10" s="46">
        <v>2056</v>
      </c>
      <c r="AX10" s="46">
        <v>2057</v>
      </c>
      <c r="AY10" s="46">
        <v>2058</v>
      </c>
      <c r="AZ10" s="46">
        <v>2059</v>
      </c>
      <c r="BA10" s="46">
        <v>2060</v>
      </c>
      <c r="BB10" s="46">
        <v>2061</v>
      </c>
      <c r="BC10" s="45">
        <v>2062</v>
      </c>
    </row>
    <row r="11" spans="1:55" s="3" customFormat="1" ht="15" customHeight="1" x14ac:dyDescent="0.2">
      <c r="A11" s="352" t="s">
        <v>53</v>
      </c>
      <c r="B11" s="141">
        <v>1</v>
      </c>
      <c r="C11" s="131" t="s">
        <v>216</v>
      </c>
      <c r="D11" s="132" t="s">
        <v>28</v>
      </c>
      <c r="E11" s="133" t="s">
        <v>3</v>
      </c>
      <c r="F11" s="133" t="s">
        <v>166</v>
      </c>
      <c r="G11" s="133" t="s">
        <v>29</v>
      </c>
      <c r="H11" s="134">
        <v>2020</v>
      </c>
      <c r="I11" s="134" t="s">
        <v>30</v>
      </c>
      <c r="J11" s="135">
        <v>15</v>
      </c>
      <c r="K11" s="136">
        <f>J11+H11</f>
        <v>2035</v>
      </c>
      <c r="L11" s="137">
        <f>K11</f>
        <v>2035</v>
      </c>
      <c r="M11" s="138">
        <v>7785</v>
      </c>
      <c r="N11" s="139">
        <v>41019</v>
      </c>
      <c r="O11" s="140" t="s">
        <v>31</v>
      </c>
      <c r="P11" s="260">
        <f>IF($F11="Ja",IF(MOD($L11-P$10,$J11)=0,$N11,0),0)</f>
        <v>0</v>
      </c>
      <c r="Q11" s="56">
        <f t="shared" ref="Q11:BC18" si="0">IF($F11="Ja",IF(MOD($L11-Q$10,$J11)=0,$N11,0),0)</f>
        <v>0</v>
      </c>
      <c r="R11" s="56">
        <f t="shared" si="0"/>
        <v>0</v>
      </c>
      <c r="S11" s="56">
        <f t="shared" si="0"/>
        <v>0</v>
      </c>
      <c r="T11" s="56">
        <f t="shared" si="0"/>
        <v>0</v>
      </c>
      <c r="U11" s="56">
        <f t="shared" si="0"/>
        <v>0</v>
      </c>
      <c r="V11" s="56">
        <f t="shared" si="0"/>
        <v>0</v>
      </c>
      <c r="W11" s="56">
        <f t="shared" si="0"/>
        <v>0</v>
      </c>
      <c r="X11" s="56">
        <f t="shared" si="0"/>
        <v>0</v>
      </c>
      <c r="Y11" s="56">
        <f t="shared" si="0"/>
        <v>0</v>
      </c>
      <c r="Z11" s="56">
        <f t="shared" si="0"/>
        <v>0</v>
      </c>
      <c r="AA11" s="56">
        <f t="shared" si="0"/>
        <v>0</v>
      </c>
      <c r="AB11" s="56">
        <f t="shared" si="0"/>
        <v>41019</v>
      </c>
      <c r="AC11" s="56">
        <f t="shared" si="0"/>
        <v>0</v>
      </c>
      <c r="AD11" s="56">
        <f t="shared" si="0"/>
        <v>0</v>
      </c>
      <c r="AE11" s="56">
        <f t="shared" si="0"/>
        <v>0</v>
      </c>
      <c r="AF11" s="56">
        <f t="shared" si="0"/>
        <v>0</v>
      </c>
      <c r="AG11" s="56">
        <f t="shared" si="0"/>
        <v>0</v>
      </c>
      <c r="AH11" s="56">
        <f t="shared" si="0"/>
        <v>0</v>
      </c>
      <c r="AI11" s="56">
        <f t="shared" si="0"/>
        <v>0</v>
      </c>
      <c r="AJ11" s="56">
        <f t="shared" si="0"/>
        <v>0</v>
      </c>
      <c r="AK11" s="56">
        <f t="shared" si="0"/>
        <v>0</v>
      </c>
      <c r="AL11" s="56">
        <f t="shared" si="0"/>
        <v>0</v>
      </c>
      <c r="AM11" s="56">
        <f t="shared" si="0"/>
        <v>0</v>
      </c>
      <c r="AN11" s="56">
        <f t="shared" si="0"/>
        <v>0</v>
      </c>
      <c r="AO11" s="56">
        <f t="shared" si="0"/>
        <v>0</v>
      </c>
      <c r="AP11" s="56">
        <f t="shared" si="0"/>
        <v>0</v>
      </c>
      <c r="AQ11" s="56">
        <f t="shared" si="0"/>
        <v>41019</v>
      </c>
      <c r="AR11" s="56">
        <f t="shared" si="0"/>
        <v>0</v>
      </c>
      <c r="AS11" s="56">
        <f t="shared" si="0"/>
        <v>0</v>
      </c>
      <c r="AT11" s="56">
        <f t="shared" si="0"/>
        <v>0</v>
      </c>
      <c r="AU11" s="56">
        <f t="shared" si="0"/>
        <v>0</v>
      </c>
      <c r="AV11" s="56">
        <f t="shared" si="0"/>
        <v>0</v>
      </c>
      <c r="AW11" s="56">
        <f t="shared" si="0"/>
        <v>0</v>
      </c>
      <c r="AX11" s="56">
        <f t="shared" si="0"/>
        <v>0</v>
      </c>
      <c r="AY11" s="56">
        <f t="shared" si="0"/>
        <v>0</v>
      </c>
      <c r="AZ11" s="56">
        <f t="shared" si="0"/>
        <v>0</v>
      </c>
      <c r="BA11" s="56">
        <f t="shared" si="0"/>
        <v>0</v>
      </c>
      <c r="BB11" s="56">
        <f t="shared" si="0"/>
        <v>0</v>
      </c>
      <c r="BC11" s="57">
        <f t="shared" si="0"/>
        <v>0</v>
      </c>
    </row>
    <row r="12" spans="1:55" s="3" customFormat="1" ht="15" customHeight="1" x14ac:dyDescent="0.2">
      <c r="A12" s="353"/>
      <c r="B12" s="142"/>
      <c r="C12" s="70"/>
      <c r="D12" s="71" t="s">
        <v>34</v>
      </c>
      <c r="E12" s="58"/>
      <c r="F12" s="58" t="s">
        <v>166</v>
      </c>
      <c r="G12" s="59" t="s">
        <v>29</v>
      </c>
      <c r="H12" s="60">
        <v>2005</v>
      </c>
      <c r="I12" s="61" t="s">
        <v>33</v>
      </c>
      <c r="J12" s="62">
        <v>15</v>
      </c>
      <c r="K12" s="63">
        <f t="shared" ref="K12:K19" si="1">J12+H12</f>
        <v>2020</v>
      </c>
      <c r="L12" s="64">
        <v>2025</v>
      </c>
      <c r="M12" s="65">
        <v>2</v>
      </c>
      <c r="N12" s="66">
        <v>4719</v>
      </c>
      <c r="O12" s="91" t="s">
        <v>32</v>
      </c>
      <c r="P12" s="67">
        <f t="shared" ref="P12:AE66" si="2">IF($F12="Ja",IF(MOD($L12-P$10,$J12)=0,$N12,0),0)</f>
        <v>0</v>
      </c>
      <c r="Q12" s="68">
        <f t="shared" si="2"/>
        <v>0</v>
      </c>
      <c r="R12" s="68">
        <f t="shared" si="2"/>
        <v>4719</v>
      </c>
      <c r="S12" s="68">
        <f t="shared" si="2"/>
        <v>0</v>
      </c>
      <c r="T12" s="68">
        <f t="shared" si="2"/>
        <v>0</v>
      </c>
      <c r="U12" s="68">
        <f t="shared" si="2"/>
        <v>0</v>
      </c>
      <c r="V12" s="68">
        <f t="shared" si="2"/>
        <v>0</v>
      </c>
      <c r="W12" s="68">
        <f t="shared" si="2"/>
        <v>0</v>
      </c>
      <c r="X12" s="68">
        <f t="shared" si="2"/>
        <v>0</v>
      </c>
      <c r="Y12" s="68">
        <f t="shared" si="2"/>
        <v>0</v>
      </c>
      <c r="Z12" s="68">
        <f t="shared" si="2"/>
        <v>0</v>
      </c>
      <c r="AA12" s="68">
        <f t="shared" si="2"/>
        <v>0</v>
      </c>
      <c r="AB12" s="68">
        <f t="shared" si="2"/>
        <v>0</v>
      </c>
      <c r="AC12" s="68">
        <f t="shared" si="2"/>
        <v>0</v>
      </c>
      <c r="AD12" s="68">
        <f t="shared" si="2"/>
        <v>0</v>
      </c>
      <c r="AE12" s="68">
        <f t="shared" si="2"/>
        <v>0</v>
      </c>
      <c r="AF12" s="68">
        <f t="shared" si="0"/>
        <v>0</v>
      </c>
      <c r="AG12" s="68">
        <f t="shared" si="0"/>
        <v>4719</v>
      </c>
      <c r="AH12" s="68">
        <f t="shared" si="0"/>
        <v>0</v>
      </c>
      <c r="AI12" s="68">
        <f t="shared" si="0"/>
        <v>0</v>
      </c>
      <c r="AJ12" s="68">
        <f t="shared" si="0"/>
        <v>0</v>
      </c>
      <c r="AK12" s="68">
        <f t="shared" si="0"/>
        <v>0</v>
      </c>
      <c r="AL12" s="68">
        <f t="shared" si="0"/>
        <v>0</v>
      </c>
      <c r="AM12" s="68">
        <f t="shared" si="0"/>
        <v>0</v>
      </c>
      <c r="AN12" s="68">
        <f t="shared" si="0"/>
        <v>0</v>
      </c>
      <c r="AO12" s="68">
        <f t="shared" si="0"/>
        <v>0</v>
      </c>
      <c r="AP12" s="68">
        <f t="shared" si="0"/>
        <v>0</v>
      </c>
      <c r="AQ12" s="68">
        <f t="shared" si="0"/>
        <v>0</v>
      </c>
      <c r="AR12" s="68">
        <f t="shared" si="0"/>
        <v>0</v>
      </c>
      <c r="AS12" s="68">
        <f t="shared" si="0"/>
        <v>0</v>
      </c>
      <c r="AT12" s="68">
        <f t="shared" si="0"/>
        <v>0</v>
      </c>
      <c r="AU12" s="68">
        <f t="shared" si="0"/>
        <v>0</v>
      </c>
      <c r="AV12" s="68">
        <f t="shared" si="0"/>
        <v>4719</v>
      </c>
      <c r="AW12" s="68">
        <f t="shared" si="0"/>
        <v>0</v>
      </c>
      <c r="AX12" s="68">
        <f t="shared" si="0"/>
        <v>0</v>
      </c>
      <c r="AY12" s="68">
        <f t="shared" si="0"/>
        <v>0</v>
      </c>
      <c r="AZ12" s="68">
        <f t="shared" si="0"/>
        <v>0</v>
      </c>
      <c r="BA12" s="68">
        <f t="shared" si="0"/>
        <v>0</v>
      </c>
      <c r="BB12" s="68">
        <f t="shared" si="0"/>
        <v>0</v>
      </c>
      <c r="BC12" s="69">
        <f t="shared" si="0"/>
        <v>0</v>
      </c>
    </row>
    <row r="13" spans="1:55" s="3" customFormat="1" ht="15" customHeight="1" x14ac:dyDescent="0.2">
      <c r="A13" s="353"/>
      <c r="B13" s="142"/>
      <c r="C13" s="70"/>
      <c r="D13" s="72" t="s">
        <v>35</v>
      </c>
      <c r="E13" s="58"/>
      <c r="F13" s="58" t="s">
        <v>166</v>
      </c>
      <c r="G13" s="59" t="s">
        <v>6</v>
      </c>
      <c r="H13" s="60"/>
      <c r="I13" s="61" t="s">
        <v>33</v>
      </c>
      <c r="J13" s="62">
        <v>3</v>
      </c>
      <c r="K13" s="63">
        <f t="shared" si="1"/>
        <v>3</v>
      </c>
      <c r="L13" s="64">
        <v>2025</v>
      </c>
      <c r="M13" s="65">
        <v>2</v>
      </c>
      <c r="N13" s="66">
        <v>484</v>
      </c>
      <c r="O13" s="91" t="s">
        <v>32</v>
      </c>
      <c r="P13" s="67">
        <f t="shared" si="2"/>
        <v>0</v>
      </c>
      <c r="Q13" s="68">
        <f t="shared" si="0"/>
        <v>0</v>
      </c>
      <c r="R13" s="68">
        <f t="shared" si="0"/>
        <v>484</v>
      </c>
      <c r="S13" s="68">
        <f t="shared" si="0"/>
        <v>0</v>
      </c>
      <c r="T13" s="68">
        <f t="shared" si="0"/>
        <v>0</v>
      </c>
      <c r="U13" s="68">
        <f t="shared" si="0"/>
        <v>484</v>
      </c>
      <c r="V13" s="68">
        <f t="shared" si="0"/>
        <v>0</v>
      </c>
      <c r="W13" s="68">
        <f t="shared" si="0"/>
        <v>0</v>
      </c>
      <c r="X13" s="68">
        <f t="shared" si="0"/>
        <v>484</v>
      </c>
      <c r="Y13" s="68">
        <f t="shared" si="0"/>
        <v>0</v>
      </c>
      <c r="Z13" s="68">
        <f t="shared" si="0"/>
        <v>0</v>
      </c>
      <c r="AA13" s="68">
        <f t="shared" si="0"/>
        <v>484</v>
      </c>
      <c r="AB13" s="68">
        <f t="shared" si="0"/>
        <v>0</v>
      </c>
      <c r="AC13" s="68">
        <f t="shared" si="0"/>
        <v>0</v>
      </c>
      <c r="AD13" s="68">
        <f t="shared" si="0"/>
        <v>484</v>
      </c>
      <c r="AE13" s="68">
        <f t="shared" si="0"/>
        <v>0</v>
      </c>
      <c r="AF13" s="68">
        <f t="shared" si="0"/>
        <v>0</v>
      </c>
      <c r="AG13" s="68">
        <f t="shared" si="0"/>
        <v>484</v>
      </c>
      <c r="AH13" s="68">
        <f t="shared" si="0"/>
        <v>0</v>
      </c>
      <c r="AI13" s="68">
        <f t="shared" si="0"/>
        <v>0</v>
      </c>
      <c r="AJ13" s="68">
        <f t="shared" si="0"/>
        <v>484</v>
      </c>
      <c r="AK13" s="68">
        <f t="shared" si="0"/>
        <v>0</v>
      </c>
      <c r="AL13" s="68">
        <f t="shared" si="0"/>
        <v>0</v>
      </c>
      <c r="AM13" s="68">
        <f t="shared" si="0"/>
        <v>484</v>
      </c>
      <c r="AN13" s="68">
        <f t="shared" si="0"/>
        <v>0</v>
      </c>
      <c r="AO13" s="68">
        <f t="shared" si="0"/>
        <v>0</v>
      </c>
      <c r="AP13" s="68">
        <f t="shared" si="0"/>
        <v>484</v>
      </c>
      <c r="AQ13" s="68">
        <f t="shared" si="0"/>
        <v>0</v>
      </c>
      <c r="AR13" s="68">
        <f t="shared" si="0"/>
        <v>0</v>
      </c>
      <c r="AS13" s="68">
        <f t="shared" si="0"/>
        <v>484</v>
      </c>
      <c r="AT13" s="68">
        <f t="shared" si="0"/>
        <v>0</v>
      </c>
      <c r="AU13" s="68">
        <f t="shared" si="0"/>
        <v>0</v>
      </c>
      <c r="AV13" s="68">
        <f t="shared" si="0"/>
        <v>484</v>
      </c>
      <c r="AW13" s="68">
        <f t="shared" si="0"/>
        <v>0</v>
      </c>
      <c r="AX13" s="68">
        <f t="shared" si="0"/>
        <v>0</v>
      </c>
      <c r="AY13" s="68">
        <f t="shared" si="0"/>
        <v>484</v>
      </c>
      <c r="AZ13" s="68">
        <f t="shared" si="0"/>
        <v>0</v>
      </c>
      <c r="BA13" s="68">
        <f t="shared" si="0"/>
        <v>0</v>
      </c>
      <c r="BB13" s="68">
        <f t="shared" si="0"/>
        <v>484</v>
      </c>
      <c r="BC13" s="69">
        <f t="shared" si="0"/>
        <v>0</v>
      </c>
    </row>
    <row r="14" spans="1:55" s="3" customFormat="1" ht="15" customHeight="1" x14ac:dyDescent="0.2">
      <c r="A14" s="353"/>
      <c r="B14" s="142"/>
      <c r="C14" s="70"/>
      <c r="D14" s="72" t="s">
        <v>209</v>
      </c>
      <c r="E14" s="58"/>
      <c r="F14" s="58" t="s">
        <v>166</v>
      </c>
      <c r="G14" s="59" t="s">
        <v>2</v>
      </c>
      <c r="H14" s="60"/>
      <c r="I14" s="61" t="s">
        <v>33</v>
      </c>
      <c r="J14" s="62">
        <v>5</v>
      </c>
      <c r="K14" s="63">
        <f t="shared" si="1"/>
        <v>5</v>
      </c>
      <c r="L14" s="64">
        <v>2025</v>
      </c>
      <c r="M14" s="65">
        <v>4</v>
      </c>
      <c r="N14" s="66">
        <v>605</v>
      </c>
      <c r="O14" s="91" t="s">
        <v>32</v>
      </c>
      <c r="P14" s="67">
        <f t="shared" si="2"/>
        <v>0</v>
      </c>
      <c r="Q14" s="68">
        <f t="shared" si="2"/>
        <v>0</v>
      </c>
      <c r="R14" s="68">
        <f t="shared" si="2"/>
        <v>605</v>
      </c>
      <c r="S14" s="68">
        <f t="shared" si="2"/>
        <v>0</v>
      </c>
      <c r="T14" s="68">
        <f t="shared" si="2"/>
        <v>0</v>
      </c>
      <c r="U14" s="68">
        <f t="shared" si="2"/>
        <v>0</v>
      </c>
      <c r="V14" s="68">
        <f t="shared" si="2"/>
        <v>0</v>
      </c>
      <c r="W14" s="68">
        <f t="shared" si="2"/>
        <v>605</v>
      </c>
      <c r="X14" s="68">
        <f t="shared" si="2"/>
        <v>0</v>
      </c>
      <c r="Y14" s="68">
        <f t="shared" si="2"/>
        <v>0</v>
      </c>
      <c r="Z14" s="68">
        <f t="shared" si="2"/>
        <v>0</v>
      </c>
      <c r="AA14" s="68">
        <f t="shared" si="2"/>
        <v>0</v>
      </c>
      <c r="AB14" s="68">
        <f t="shared" si="2"/>
        <v>605</v>
      </c>
      <c r="AC14" s="68">
        <f t="shared" si="2"/>
        <v>0</v>
      </c>
      <c r="AD14" s="68">
        <f t="shared" si="2"/>
        <v>0</v>
      </c>
      <c r="AE14" s="68">
        <f t="shared" si="2"/>
        <v>0</v>
      </c>
      <c r="AF14" s="68">
        <f t="shared" ref="AF14:BC14" si="3">IF($F14="Ja",IF(MOD($L14-AF$10,$J14)=0,$N14,0),0)</f>
        <v>0</v>
      </c>
      <c r="AG14" s="68">
        <f t="shared" si="3"/>
        <v>605</v>
      </c>
      <c r="AH14" s="68">
        <f t="shared" si="3"/>
        <v>0</v>
      </c>
      <c r="AI14" s="68">
        <f t="shared" si="3"/>
        <v>0</v>
      </c>
      <c r="AJ14" s="68">
        <f t="shared" si="3"/>
        <v>0</v>
      </c>
      <c r="AK14" s="68">
        <f t="shared" si="3"/>
        <v>0</v>
      </c>
      <c r="AL14" s="68">
        <f t="shared" si="3"/>
        <v>605</v>
      </c>
      <c r="AM14" s="68">
        <f t="shared" si="3"/>
        <v>0</v>
      </c>
      <c r="AN14" s="68">
        <f t="shared" si="3"/>
        <v>0</v>
      </c>
      <c r="AO14" s="68">
        <f t="shared" si="3"/>
        <v>0</v>
      </c>
      <c r="AP14" s="68">
        <f t="shared" si="3"/>
        <v>0</v>
      </c>
      <c r="AQ14" s="68">
        <f t="shared" si="3"/>
        <v>605</v>
      </c>
      <c r="AR14" s="68">
        <f t="shared" si="3"/>
        <v>0</v>
      </c>
      <c r="AS14" s="68">
        <f t="shared" si="3"/>
        <v>0</v>
      </c>
      <c r="AT14" s="68">
        <f t="shared" si="3"/>
        <v>0</v>
      </c>
      <c r="AU14" s="68">
        <f t="shared" si="3"/>
        <v>0</v>
      </c>
      <c r="AV14" s="68">
        <f t="shared" si="3"/>
        <v>605</v>
      </c>
      <c r="AW14" s="68">
        <f t="shared" si="3"/>
        <v>0</v>
      </c>
      <c r="AX14" s="68">
        <f t="shared" si="3"/>
        <v>0</v>
      </c>
      <c r="AY14" s="68">
        <f t="shared" si="3"/>
        <v>0</v>
      </c>
      <c r="AZ14" s="68">
        <f t="shared" si="3"/>
        <v>0</v>
      </c>
      <c r="BA14" s="68">
        <f t="shared" si="3"/>
        <v>605</v>
      </c>
      <c r="BB14" s="68">
        <f t="shared" si="3"/>
        <v>0</v>
      </c>
      <c r="BC14" s="69">
        <f t="shared" si="3"/>
        <v>0</v>
      </c>
    </row>
    <row r="15" spans="1:55" s="3" customFormat="1" ht="15" customHeight="1" x14ac:dyDescent="0.2">
      <c r="A15" s="353"/>
      <c r="B15" s="142"/>
      <c r="C15" s="70"/>
      <c r="D15" s="72" t="s">
        <v>36</v>
      </c>
      <c r="E15" s="58" t="s">
        <v>3</v>
      </c>
      <c r="F15" s="58" t="s">
        <v>166</v>
      </c>
      <c r="G15" s="59" t="s">
        <v>29</v>
      </c>
      <c r="H15" s="60"/>
      <c r="I15" s="61" t="s">
        <v>33</v>
      </c>
      <c r="J15" s="62">
        <v>20</v>
      </c>
      <c r="K15" s="63">
        <f t="shared" si="1"/>
        <v>20</v>
      </c>
      <c r="L15" s="64">
        <v>2035</v>
      </c>
      <c r="M15" s="64">
        <v>2</v>
      </c>
      <c r="N15" s="66">
        <v>12826</v>
      </c>
      <c r="O15" s="91" t="s">
        <v>32</v>
      </c>
      <c r="P15" s="67">
        <f t="shared" si="2"/>
        <v>0</v>
      </c>
      <c r="Q15" s="68">
        <f t="shared" si="0"/>
        <v>0</v>
      </c>
      <c r="R15" s="68">
        <f t="shared" si="0"/>
        <v>0</v>
      </c>
      <c r="S15" s="68">
        <f t="shared" si="0"/>
        <v>0</v>
      </c>
      <c r="T15" s="68">
        <f t="shared" si="0"/>
        <v>0</v>
      </c>
      <c r="U15" s="68">
        <f t="shared" si="0"/>
        <v>0</v>
      </c>
      <c r="V15" s="68">
        <f t="shared" si="0"/>
        <v>0</v>
      </c>
      <c r="W15" s="68">
        <f t="shared" si="0"/>
        <v>0</v>
      </c>
      <c r="X15" s="68">
        <f t="shared" si="0"/>
        <v>0</v>
      </c>
      <c r="Y15" s="68">
        <f t="shared" si="0"/>
        <v>0</v>
      </c>
      <c r="Z15" s="68">
        <f t="shared" si="0"/>
        <v>0</v>
      </c>
      <c r="AA15" s="68">
        <f t="shared" si="0"/>
        <v>0</v>
      </c>
      <c r="AB15" s="68">
        <f t="shared" si="0"/>
        <v>12826</v>
      </c>
      <c r="AC15" s="68">
        <f t="shared" si="0"/>
        <v>0</v>
      </c>
      <c r="AD15" s="68">
        <f t="shared" si="0"/>
        <v>0</v>
      </c>
      <c r="AE15" s="68">
        <f t="shared" si="0"/>
        <v>0</v>
      </c>
      <c r="AF15" s="68">
        <f t="shared" si="0"/>
        <v>0</v>
      </c>
      <c r="AG15" s="68">
        <f t="shared" si="0"/>
        <v>0</v>
      </c>
      <c r="AH15" s="68">
        <f t="shared" si="0"/>
        <v>0</v>
      </c>
      <c r="AI15" s="68">
        <f t="shared" si="0"/>
        <v>0</v>
      </c>
      <c r="AJ15" s="68">
        <f t="shared" si="0"/>
        <v>0</v>
      </c>
      <c r="AK15" s="68">
        <f t="shared" si="0"/>
        <v>0</v>
      </c>
      <c r="AL15" s="68">
        <f t="shared" si="0"/>
        <v>0</v>
      </c>
      <c r="AM15" s="68">
        <f t="shared" si="0"/>
        <v>0</v>
      </c>
      <c r="AN15" s="68">
        <f t="shared" si="0"/>
        <v>0</v>
      </c>
      <c r="AO15" s="68">
        <f t="shared" si="0"/>
        <v>0</v>
      </c>
      <c r="AP15" s="68">
        <f t="shared" si="0"/>
        <v>0</v>
      </c>
      <c r="AQ15" s="68">
        <f t="shared" si="0"/>
        <v>0</v>
      </c>
      <c r="AR15" s="68">
        <f t="shared" si="0"/>
        <v>0</v>
      </c>
      <c r="AS15" s="68">
        <f t="shared" si="0"/>
        <v>0</v>
      </c>
      <c r="AT15" s="68">
        <f t="shared" si="0"/>
        <v>0</v>
      </c>
      <c r="AU15" s="68">
        <f t="shared" si="0"/>
        <v>0</v>
      </c>
      <c r="AV15" s="68">
        <f t="shared" si="0"/>
        <v>12826</v>
      </c>
      <c r="AW15" s="68">
        <f t="shared" si="0"/>
        <v>0</v>
      </c>
      <c r="AX15" s="68">
        <f t="shared" si="0"/>
        <v>0</v>
      </c>
      <c r="AY15" s="68">
        <f t="shared" si="0"/>
        <v>0</v>
      </c>
      <c r="AZ15" s="68">
        <f t="shared" si="0"/>
        <v>0</v>
      </c>
      <c r="BA15" s="68">
        <f t="shared" si="0"/>
        <v>0</v>
      </c>
      <c r="BB15" s="68">
        <f t="shared" si="0"/>
        <v>0</v>
      </c>
      <c r="BC15" s="69">
        <f t="shared" si="0"/>
        <v>0</v>
      </c>
    </row>
    <row r="16" spans="1:55" s="3" customFormat="1" ht="15" customHeight="1" x14ac:dyDescent="0.2">
      <c r="A16" s="353"/>
      <c r="B16" s="142"/>
      <c r="C16" s="70"/>
      <c r="D16" s="72" t="s">
        <v>37</v>
      </c>
      <c r="E16" s="58" t="s">
        <v>3</v>
      </c>
      <c r="F16" s="58" t="s">
        <v>166</v>
      </c>
      <c r="G16" s="59" t="s">
        <v>29</v>
      </c>
      <c r="H16" s="60">
        <v>2021</v>
      </c>
      <c r="I16" s="61" t="s">
        <v>33</v>
      </c>
      <c r="J16" s="62">
        <v>20</v>
      </c>
      <c r="K16" s="63">
        <f t="shared" si="1"/>
        <v>2041</v>
      </c>
      <c r="L16" s="64">
        <f t="shared" ref="L16:L19" si="4">K16</f>
        <v>2041</v>
      </c>
      <c r="M16" s="64">
        <v>310</v>
      </c>
      <c r="N16" s="66">
        <v>15125</v>
      </c>
      <c r="O16" s="91" t="s">
        <v>38</v>
      </c>
      <c r="P16" s="67">
        <f t="shared" si="2"/>
        <v>0</v>
      </c>
      <c r="Q16" s="68">
        <f t="shared" si="0"/>
        <v>0</v>
      </c>
      <c r="R16" s="68">
        <f t="shared" si="0"/>
        <v>0</v>
      </c>
      <c r="S16" s="68">
        <f t="shared" si="0"/>
        <v>0</v>
      </c>
      <c r="T16" s="68">
        <f t="shared" si="0"/>
        <v>0</v>
      </c>
      <c r="U16" s="68">
        <f t="shared" si="0"/>
        <v>0</v>
      </c>
      <c r="V16" s="68">
        <f t="shared" si="0"/>
        <v>0</v>
      </c>
      <c r="W16" s="68">
        <f t="shared" si="0"/>
        <v>0</v>
      </c>
      <c r="X16" s="68">
        <f t="shared" si="0"/>
        <v>0</v>
      </c>
      <c r="Y16" s="68">
        <f t="shared" si="0"/>
        <v>0</v>
      </c>
      <c r="Z16" s="68">
        <f t="shared" si="0"/>
        <v>0</v>
      </c>
      <c r="AA16" s="68">
        <f t="shared" si="0"/>
        <v>0</v>
      </c>
      <c r="AB16" s="68">
        <f t="shared" si="0"/>
        <v>0</v>
      </c>
      <c r="AC16" s="68">
        <f t="shared" si="0"/>
        <v>0</v>
      </c>
      <c r="AD16" s="68">
        <f t="shared" si="0"/>
        <v>0</v>
      </c>
      <c r="AE16" s="68">
        <f t="shared" si="0"/>
        <v>0</v>
      </c>
      <c r="AF16" s="68">
        <f t="shared" si="0"/>
        <v>0</v>
      </c>
      <c r="AG16" s="68">
        <f t="shared" si="0"/>
        <v>0</v>
      </c>
      <c r="AH16" s="68">
        <f t="shared" si="0"/>
        <v>15125</v>
      </c>
      <c r="AI16" s="68">
        <f t="shared" si="0"/>
        <v>0</v>
      </c>
      <c r="AJ16" s="68">
        <f t="shared" si="0"/>
        <v>0</v>
      </c>
      <c r="AK16" s="68">
        <f t="shared" si="0"/>
        <v>0</v>
      </c>
      <c r="AL16" s="68">
        <f t="shared" si="0"/>
        <v>0</v>
      </c>
      <c r="AM16" s="68">
        <f t="shared" si="0"/>
        <v>0</v>
      </c>
      <c r="AN16" s="68">
        <f t="shared" si="0"/>
        <v>0</v>
      </c>
      <c r="AO16" s="68">
        <f t="shared" si="0"/>
        <v>0</v>
      </c>
      <c r="AP16" s="68">
        <f t="shared" si="0"/>
        <v>0</v>
      </c>
      <c r="AQ16" s="68">
        <f t="shared" si="0"/>
        <v>0</v>
      </c>
      <c r="AR16" s="68">
        <f t="shared" si="0"/>
        <v>0</v>
      </c>
      <c r="AS16" s="68">
        <f t="shared" si="0"/>
        <v>0</v>
      </c>
      <c r="AT16" s="68">
        <f t="shared" si="0"/>
        <v>0</v>
      </c>
      <c r="AU16" s="68">
        <f t="shared" si="0"/>
        <v>0</v>
      </c>
      <c r="AV16" s="68">
        <f t="shared" si="0"/>
        <v>0</v>
      </c>
      <c r="AW16" s="68">
        <f t="shared" si="0"/>
        <v>0</v>
      </c>
      <c r="AX16" s="68">
        <f t="shared" si="0"/>
        <v>0</v>
      </c>
      <c r="AY16" s="68">
        <f t="shared" si="0"/>
        <v>0</v>
      </c>
      <c r="AZ16" s="68">
        <f t="shared" si="0"/>
        <v>0</v>
      </c>
      <c r="BA16" s="68">
        <f t="shared" si="0"/>
        <v>0</v>
      </c>
      <c r="BB16" s="68">
        <f t="shared" si="0"/>
        <v>15125</v>
      </c>
      <c r="BC16" s="69">
        <f t="shared" si="0"/>
        <v>0</v>
      </c>
    </row>
    <row r="17" spans="1:55" s="3" customFormat="1" ht="15" customHeight="1" x14ac:dyDescent="0.2">
      <c r="A17" s="353"/>
      <c r="B17" s="142"/>
      <c r="C17" s="70"/>
      <c r="D17" s="72" t="s">
        <v>39</v>
      </c>
      <c r="E17" s="58" t="s">
        <v>3</v>
      </c>
      <c r="F17" s="58" t="s">
        <v>166</v>
      </c>
      <c r="G17" s="59" t="s">
        <v>29</v>
      </c>
      <c r="H17" s="60">
        <v>2021</v>
      </c>
      <c r="I17" s="61" t="s">
        <v>33</v>
      </c>
      <c r="J17" s="62">
        <v>20</v>
      </c>
      <c r="K17" s="63">
        <f t="shared" si="1"/>
        <v>2041</v>
      </c>
      <c r="L17" s="64">
        <f t="shared" si="4"/>
        <v>2041</v>
      </c>
      <c r="M17" s="64">
        <v>50</v>
      </c>
      <c r="N17" s="66">
        <v>12342</v>
      </c>
      <c r="O17" s="91" t="s">
        <v>38</v>
      </c>
      <c r="P17" s="67">
        <f t="shared" si="2"/>
        <v>0</v>
      </c>
      <c r="Q17" s="68">
        <f t="shared" si="0"/>
        <v>0</v>
      </c>
      <c r="R17" s="68">
        <f t="shared" si="0"/>
        <v>0</v>
      </c>
      <c r="S17" s="68">
        <f t="shared" si="0"/>
        <v>0</v>
      </c>
      <c r="T17" s="68">
        <f t="shared" si="0"/>
        <v>0</v>
      </c>
      <c r="U17" s="68">
        <f t="shared" si="0"/>
        <v>0</v>
      </c>
      <c r="V17" s="68">
        <f t="shared" si="0"/>
        <v>0</v>
      </c>
      <c r="W17" s="68">
        <f t="shared" si="0"/>
        <v>0</v>
      </c>
      <c r="X17" s="68">
        <f t="shared" si="0"/>
        <v>0</v>
      </c>
      <c r="Y17" s="68">
        <f t="shared" si="0"/>
        <v>0</v>
      </c>
      <c r="Z17" s="68">
        <f t="shared" si="0"/>
        <v>0</v>
      </c>
      <c r="AA17" s="68">
        <f t="shared" si="0"/>
        <v>0</v>
      </c>
      <c r="AB17" s="68">
        <f t="shared" si="0"/>
        <v>0</v>
      </c>
      <c r="AC17" s="68">
        <f t="shared" si="0"/>
        <v>0</v>
      </c>
      <c r="AD17" s="68">
        <f t="shared" si="0"/>
        <v>0</v>
      </c>
      <c r="AE17" s="68">
        <f t="shared" si="0"/>
        <v>0</v>
      </c>
      <c r="AF17" s="68">
        <f t="shared" si="0"/>
        <v>0</v>
      </c>
      <c r="AG17" s="68">
        <f t="shared" si="0"/>
        <v>0</v>
      </c>
      <c r="AH17" s="68">
        <f t="shared" si="0"/>
        <v>12342</v>
      </c>
      <c r="AI17" s="68">
        <f t="shared" si="0"/>
        <v>0</v>
      </c>
      <c r="AJ17" s="68">
        <f t="shared" si="0"/>
        <v>0</v>
      </c>
      <c r="AK17" s="68">
        <f t="shared" si="0"/>
        <v>0</v>
      </c>
      <c r="AL17" s="68">
        <f t="shared" si="0"/>
        <v>0</v>
      </c>
      <c r="AM17" s="68">
        <f t="shared" si="0"/>
        <v>0</v>
      </c>
      <c r="AN17" s="68">
        <f t="shared" si="0"/>
        <v>0</v>
      </c>
      <c r="AO17" s="68">
        <f t="shared" si="0"/>
        <v>0</v>
      </c>
      <c r="AP17" s="68">
        <f t="shared" si="0"/>
        <v>0</v>
      </c>
      <c r="AQ17" s="68">
        <f t="shared" si="0"/>
        <v>0</v>
      </c>
      <c r="AR17" s="68">
        <f t="shared" si="0"/>
        <v>0</v>
      </c>
      <c r="AS17" s="68">
        <f t="shared" si="0"/>
        <v>0</v>
      </c>
      <c r="AT17" s="68">
        <f t="shared" si="0"/>
        <v>0</v>
      </c>
      <c r="AU17" s="68">
        <f t="shared" si="0"/>
        <v>0</v>
      </c>
      <c r="AV17" s="68">
        <f t="shared" si="0"/>
        <v>0</v>
      </c>
      <c r="AW17" s="68">
        <f t="shared" si="0"/>
        <v>0</v>
      </c>
      <c r="AX17" s="68">
        <f t="shared" si="0"/>
        <v>0</v>
      </c>
      <c r="AY17" s="68">
        <f t="shared" si="0"/>
        <v>0</v>
      </c>
      <c r="AZ17" s="68">
        <f t="shared" si="0"/>
        <v>0</v>
      </c>
      <c r="BA17" s="68">
        <f t="shared" si="0"/>
        <v>0</v>
      </c>
      <c r="BB17" s="68">
        <f t="shared" si="0"/>
        <v>12342</v>
      </c>
      <c r="BC17" s="69">
        <f t="shared" si="0"/>
        <v>0</v>
      </c>
    </row>
    <row r="18" spans="1:55" s="3" customFormat="1" ht="15" customHeight="1" x14ac:dyDescent="0.2">
      <c r="A18" s="353"/>
      <c r="B18" s="142"/>
      <c r="C18" s="70"/>
      <c r="D18" s="73" t="s">
        <v>40</v>
      </c>
      <c r="E18" s="74" t="s">
        <v>7</v>
      </c>
      <c r="F18" s="74" t="s">
        <v>166</v>
      </c>
      <c r="G18" s="59" t="s">
        <v>29</v>
      </c>
      <c r="H18" s="60">
        <v>2021</v>
      </c>
      <c r="I18" s="61" t="s">
        <v>33</v>
      </c>
      <c r="J18" s="62">
        <v>5</v>
      </c>
      <c r="K18" s="63">
        <f t="shared" si="1"/>
        <v>2026</v>
      </c>
      <c r="L18" s="64">
        <f t="shared" si="4"/>
        <v>2026</v>
      </c>
      <c r="M18" s="64">
        <f>M17*3</f>
        <v>150</v>
      </c>
      <c r="N18" s="66">
        <v>2057</v>
      </c>
      <c r="O18" s="91" t="s">
        <v>31</v>
      </c>
      <c r="P18" s="67">
        <f t="shared" si="2"/>
        <v>0</v>
      </c>
      <c r="Q18" s="68">
        <f t="shared" si="0"/>
        <v>0</v>
      </c>
      <c r="R18" s="68">
        <f t="shared" si="0"/>
        <v>0</v>
      </c>
      <c r="S18" s="68">
        <f t="shared" si="0"/>
        <v>2057</v>
      </c>
      <c r="T18" s="68">
        <f t="shared" si="0"/>
        <v>0</v>
      </c>
      <c r="U18" s="68">
        <f t="shared" si="0"/>
        <v>0</v>
      </c>
      <c r="V18" s="68">
        <f t="shared" si="0"/>
        <v>0</v>
      </c>
      <c r="W18" s="68">
        <f t="shared" si="0"/>
        <v>0</v>
      </c>
      <c r="X18" s="68">
        <f t="shared" si="0"/>
        <v>2057</v>
      </c>
      <c r="Y18" s="68">
        <f t="shared" si="0"/>
        <v>0</v>
      </c>
      <c r="Z18" s="68">
        <f t="shared" si="0"/>
        <v>0</v>
      </c>
      <c r="AA18" s="68">
        <f t="shared" si="0"/>
        <v>0</v>
      </c>
      <c r="AB18" s="68">
        <f t="shared" si="0"/>
        <v>0</v>
      </c>
      <c r="AC18" s="68">
        <f t="shared" si="0"/>
        <v>2057</v>
      </c>
      <c r="AD18" s="68">
        <f t="shared" si="0"/>
        <v>0</v>
      </c>
      <c r="AE18" s="68">
        <f t="shared" si="0"/>
        <v>0</v>
      </c>
      <c r="AF18" s="68">
        <f t="shared" si="0"/>
        <v>0</v>
      </c>
      <c r="AG18" s="68">
        <f t="shared" si="0"/>
        <v>0</v>
      </c>
      <c r="AH18" s="68">
        <f t="shared" si="0"/>
        <v>2057</v>
      </c>
      <c r="AI18" s="68">
        <f t="shared" si="0"/>
        <v>0</v>
      </c>
      <c r="AJ18" s="68">
        <f t="shared" si="0"/>
        <v>0</v>
      </c>
      <c r="AK18" s="68">
        <f t="shared" si="0"/>
        <v>0</v>
      </c>
      <c r="AL18" s="68">
        <f t="shared" si="0"/>
        <v>0</v>
      </c>
      <c r="AM18" s="68">
        <f t="shared" si="0"/>
        <v>2057</v>
      </c>
      <c r="AN18" s="68">
        <f t="shared" si="0"/>
        <v>0</v>
      </c>
      <c r="AO18" s="68">
        <f t="shared" si="0"/>
        <v>0</v>
      </c>
      <c r="AP18" s="68">
        <f t="shared" si="0"/>
        <v>0</v>
      </c>
      <c r="AQ18" s="68">
        <f t="shared" si="0"/>
        <v>0</v>
      </c>
      <c r="AR18" s="68">
        <f t="shared" si="0"/>
        <v>2057</v>
      </c>
      <c r="AS18" s="68">
        <f t="shared" si="0"/>
        <v>0</v>
      </c>
      <c r="AT18" s="68">
        <f t="shared" si="0"/>
        <v>0</v>
      </c>
      <c r="AU18" s="68">
        <f t="shared" si="0"/>
        <v>0</v>
      </c>
      <c r="AV18" s="68">
        <f t="shared" si="0"/>
        <v>0</v>
      </c>
      <c r="AW18" s="68">
        <f t="shared" si="0"/>
        <v>2057</v>
      </c>
      <c r="AX18" s="68">
        <f t="shared" si="0"/>
        <v>0</v>
      </c>
      <c r="AY18" s="68">
        <f t="shared" si="0"/>
        <v>0</v>
      </c>
      <c r="AZ18" s="68">
        <f t="shared" si="0"/>
        <v>0</v>
      </c>
      <c r="BA18" s="68">
        <f t="shared" ref="Q18:BC27" si="5">IF($F18="Ja",IF(MOD($L18-BA$10,$J18)=0,$N18,0),0)</f>
        <v>0</v>
      </c>
      <c r="BB18" s="68">
        <f t="shared" si="5"/>
        <v>2057</v>
      </c>
      <c r="BC18" s="69">
        <f t="shared" si="5"/>
        <v>0</v>
      </c>
    </row>
    <row r="19" spans="1:55" s="3" customFormat="1" ht="15" customHeight="1" x14ac:dyDescent="0.2">
      <c r="A19" s="353"/>
      <c r="B19" s="143"/>
      <c r="C19" s="107"/>
      <c r="D19" s="108" t="s">
        <v>41</v>
      </c>
      <c r="E19" s="109"/>
      <c r="F19" s="109" t="s">
        <v>166</v>
      </c>
      <c r="G19" s="74" t="s">
        <v>6</v>
      </c>
      <c r="H19" s="93">
        <v>2017</v>
      </c>
      <c r="I19" s="90" t="s">
        <v>33</v>
      </c>
      <c r="J19" s="110">
        <v>30</v>
      </c>
      <c r="K19" s="111">
        <f t="shared" si="1"/>
        <v>2047</v>
      </c>
      <c r="L19" s="94">
        <f t="shared" si="4"/>
        <v>2047</v>
      </c>
      <c r="M19" s="94">
        <v>1</v>
      </c>
      <c r="N19" s="112">
        <v>20570</v>
      </c>
      <c r="O19" s="127" t="s">
        <v>32</v>
      </c>
      <c r="P19" s="95">
        <f t="shared" si="2"/>
        <v>0</v>
      </c>
      <c r="Q19" s="96">
        <f t="shared" si="5"/>
        <v>0</v>
      </c>
      <c r="R19" s="96">
        <f t="shared" si="5"/>
        <v>0</v>
      </c>
      <c r="S19" s="96">
        <f t="shared" si="5"/>
        <v>0</v>
      </c>
      <c r="T19" s="96">
        <f t="shared" si="5"/>
        <v>0</v>
      </c>
      <c r="U19" s="96">
        <f t="shared" si="5"/>
        <v>0</v>
      </c>
      <c r="V19" s="96">
        <f t="shared" si="5"/>
        <v>0</v>
      </c>
      <c r="W19" s="96">
        <f t="shared" si="5"/>
        <v>0</v>
      </c>
      <c r="X19" s="96">
        <f t="shared" si="5"/>
        <v>0</v>
      </c>
      <c r="Y19" s="96">
        <f t="shared" si="5"/>
        <v>0</v>
      </c>
      <c r="Z19" s="96">
        <f t="shared" si="5"/>
        <v>0</v>
      </c>
      <c r="AA19" s="96">
        <f t="shared" si="5"/>
        <v>0</v>
      </c>
      <c r="AB19" s="96">
        <f t="shared" si="5"/>
        <v>0</v>
      </c>
      <c r="AC19" s="96">
        <f t="shared" si="5"/>
        <v>0</v>
      </c>
      <c r="AD19" s="96">
        <f t="shared" si="5"/>
        <v>0</v>
      </c>
      <c r="AE19" s="96">
        <f t="shared" si="5"/>
        <v>0</v>
      </c>
      <c r="AF19" s="96">
        <f t="shared" si="5"/>
        <v>0</v>
      </c>
      <c r="AG19" s="96">
        <f t="shared" si="5"/>
        <v>0</v>
      </c>
      <c r="AH19" s="96">
        <f t="shared" si="5"/>
        <v>0</v>
      </c>
      <c r="AI19" s="96">
        <f t="shared" si="5"/>
        <v>0</v>
      </c>
      <c r="AJ19" s="96">
        <f t="shared" si="5"/>
        <v>0</v>
      </c>
      <c r="AK19" s="96">
        <f t="shared" si="5"/>
        <v>0</v>
      </c>
      <c r="AL19" s="96">
        <f t="shared" si="5"/>
        <v>0</v>
      </c>
      <c r="AM19" s="96">
        <f t="shared" si="5"/>
        <v>0</v>
      </c>
      <c r="AN19" s="96">
        <f t="shared" si="5"/>
        <v>20570</v>
      </c>
      <c r="AO19" s="96">
        <f t="shared" si="5"/>
        <v>0</v>
      </c>
      <c r="AP19" s="96">
        <f t="shared" si="5"/>
        <v>0</v>
      </c>
      <c r="AQ19" s="96">
        <f t="shared" si="5"/>
        <v>0</v>
      </c>
      <c r="AR19" s="96">
        <f t="shared" si="5"/>
        <v>0</v>
      </c>
      <c r="AS19" s="96">
        <f t="shared" si="5"/>
        <v>0</v>
      </c>
      <c r="AT19" s="96">
        <f t="shared" si="5"/>
        <v>0</v>
      </c>
      <c r="AU19" s="96">
        <f t="shared" si="5"/>
        <v>0</v>
      </c>
      <c r="AV19" s="96">
        <f t="shared" si="5"/>
        <v>0</v>
      </c>
      <c r="AW19" s="96">
        <f t="shared" si="5"/>
        <v>0</v>
      </c>
      <c r="AX19" s="96">
        <f t="shared" si="5"/>
        <v>0</v>
      </c>
      <c r="AY19" s="96">
        <f t="shared" si="5"/>
        <v>0</v>
      </c>
      <c r="AZ19" s="96">
        <f t="shared" si="5"/>
        <v>0</v>
      </c>
      <c r="BA19" s="96">
        <f t="shared" si="5"/>
        <v>0</v>
      </c>
      <c r="BB19" s="96">
        <f t="shared" si="5"/>
        <v>0</v>
      </c>
      <c r="BC19" s="97">
        <f t="shared" si="5"/>
        <v>0</v>
      </c>
    </row>
    <row r="20" spans="1:55" s="3" customFormat="1" ht="15" customHeight="1" x14ac:dyDescent="0.2">
      <c r="A20" s="353"/>
      <c r="B20" s="146"/>
      <c r="C20" s="147"/>
      <c r="D20" s="148"/>
      <c r="E20" s="149"/>
      <c r="F20" s="149"/>
      <c r="G20" s="150"/>
      <c r="H20" s="151"/>
      <c r="I20" s="152"/>
      <c r="J20" s="153"/>
      <c r="K20" s="154"/>
      <c r="L20" s="155"/>
      <c r="M20" s="155"/>
      <c r="N20" s="156"/>
      <c r="O20" s="157"/>
      <c r="P20" s="158">
        <f t="shared" ref="P20" si="6">SUM(P11:P19)</f>
        <v>0</v>
      </c>
      <c r="Q20" s="159">
        <f t="shared" ref="Q20:BC20" si="7">SUM(Q11:Q19)</f>
        <v>0</v>
      </c>
      <c r="R20" s="159">
        <f t="shared" si="7"/>
        <v>5808</v>
      </c>
      <c r="S20" s="159">
        <f t="shared" si="7"/>
        <v>2057</v>
      </c>
      <c r="T20" s="159">
        <f t="shared" si="7"/>
        <v>0</v>
      </c>
      <c r="U20" s="159">
        <f t="shared" si="7"/>
        <v>484</v>
      </c>
      <c r="V20" s="159">
        <f t="shared" si="7"/>
        <v>0</v>
      </c>
      <c r="W20" s="159">
        <f t="shared" si="7"/>
        <v>605</v>
      </c>
      <c r="X20" s="159">
        <f t="shared" si="7"/>
        <v>2541</v>
      </c>
      <c r="Y20" s="159">
        <f t="shared" si="7"/>
        <v>0</v>
      </c>
      <c r="Z20" s="159">
        <f t="shared" si="7"/>
        <v>0</v>
      </c>
      <c r="AA20" s="159">
        <f t="shared" si="7"/>
        <v>484</v>
      </c>
      <c r="AB20" s="159">
        <f t="shared" si="7"/>
        <v>54450</v>
      </c>
      <c r="AC20" s="159">
        <f t="shared" si="7"/>
        <v>2057</v>
      </c>
      <c r="AD20" s="159">
        <f t="shared" si="7"/>
        <v>484</v>
      </c>
      <c r="AE20" s="159">
        <f t="shared" si="7"/>
        <v>0</v>
      </c>
      <c r="AF20" s="159">
        <f t="shared" si="7"/>
        <v>0</v>
      </c>
      <c r="AG20" s="159">
        <f t="shared" si="7"/>
        <v>5808</v>
      </c>
      <c r="AH20" s="159">
        <f t="shared" si="7"/>
        <v>29524</v>
      </c>
      <c r="AI20" s="159">
        <f t="shared" si="7"/>
        <v>0</v>
      </c>
      <c r="AJ20" s="159">
        <f t="shared" si="7"/>
        <v>484</v>
      </c>
      <c r="AK20" s="159">
        <f t="shared" si="7"/>
        <v>0</v>
      </c>
      <c r="AL20" s="159">
        <f t="shared" si="7"/>
        <v>605</v>
      </c>
      <c r="AM20" s="159">
        <f t="shared" si="7"/>
        <v>2541</v>
      </c>
      <c r="AN20" s="159">
        <f t="shared" si="7"/>
        <v>20570</v>
      </c>
      <c r="AO20" s="159">
        <f t="shared" si="7"/>
        <v>0</v>
      </c>
      <c r="AP20" s="159">
        <f t="shared" si="7"/>
        <v>484</v>
      </c>
      <c r="AQ20" s="159">
        <f t="shared" si="7"/>
        <v>41624</v>
      </c>
      <c r="AR20" s="159">
        <f t="shared" si="7"/>
        <v>2057</v>
      </c>
      <c r="AS20" s="159">
        <f t="shared" si="7"/>
        <v>484</v>
      </c>
      <c r="AT20" s="159">
        <f t="shared" si="7"/>
        <v>0</v>
      </c>
      <c r="AU20" s="159">
        <f t="shared" si="7"/>
        <v>0</v>
      </c>
      <c r="AV20" s="159">
        <f t="shared" si="7"/>
        <v>18634</v>
      </c>
      <c r="AW20" s="159">
        <f t="shared" si="7"/>
        <v>2057</v>
      </c>
      <c r="AX20" s="159">
        <f t="shared" si="7"/>
        <v>0</v>
      </c>
      <c r="AY20" s="159">
        <f t="shared" si="7"/>
        <v>484</v>
      </c>
      <c r="AZ20" s="159">
        <f t="shared" si="7"/>
        <v>0</v>
      </c>
      <c r="BA20" s="159">
        <f t="shared" si="7"/>
        <v>605</v>
      </c>
      <c r="BB20" s="159">
        <f t="shared" si="7"/>
        <v>30008</v>
      </c>
      <c r="BC20" s="159">
        <f t="shared" si="7"/>
        <v>0</v>
      </c>
    </row>
    <row r="21" spans="1:55" s="3" customFormat="1" ht="15" customHeight="1" x14ac:dyDescent="0.2">
      <c r="A21" s="353"/>
      <c r="B21" s="144">
        <v>2</v>
      </c>
      <c r="C21" s="113" t="s">
        <v>241</v>
      </c>
      <c r="D21" s="114" t="s">
        <v>28</v>
      </c>
      <c r="E21" s="115" t="s">
        <v>3</v>
      </c>
      <c r="F21" s="115" t="s">
        <v>166</v>
      </c>
      <c r="G21" s="115" t="s">
        <v>29</v>
      </c>
      <c r="H21" s="116">
        <v>2021</v>
      </c>
      <c r="I21" s="116" t="s">
        <v>30</v>
      </c>
      <c r="J21" s="117">
        <v>15</v>
      </c>
      <c r="K21" s="118">
        <f>J21+H21</f>
        <v>2036</v>
      </c>
      <c r="L21" s="119">
        <f>K21</f>
        <v>2036</v>
      </c>
      <c r="M21" s="120">
        <v>7608</v>
      </c>
      <c r="N21" s="121">
        <v>41019</v>
      </c>
      <c r="O21" s="128" t="s">
        <v>31</v>
      </c>
      <c r="P21" s="67">
        <f t="shared" si="2"/>
        <v>0</v>
      </c>
      <c r="Q21" s="122">
        <f t="shared" si="5"/>
        <v>0</v>
      </c>
      <c r="R21" s="122">
        <f t="shared" si="5"/>
        <v>0</v>
      </c>
      <c r="S21" s="122">
        <f t="shared" si="5"/>
        <v>0</v>
      </c>
      <c r="T21" s="122">
        <f t="shared" si="5"/>
        <v>0</v>
      </c>
      <c r="U21" s="122">
        <f t="shared" si="5"/>
        <v>0</v>
      </c>
      <c r="V21" s="122">
        <f t="shared" si="5"/>
        <v>0</v>
      </c>
      <c r="W21" s="122">
        <f t="shared" si="5"/>
        <v>0</v>
      </c>
      <c r="X21" s="122">
        <f t="shared" si="5"/>
        <v>0</v>
      </c>
      <c r="Y21" s="122">
        <f t="shared" si="5"/>
        <v>0</v>
      </c>
      <c r="Z21" s="122">
        <f t="shared" si="5"/>
        <v>0</v>
      </c>
      <c r="AA21" s="122">
        <f t="shared" si="5"/>
        <v>0</v>
      </c>
      <c r="AB21" s="122">
        <f t="shared" si="5"/>
        <v>0</v>
      </c>
      <c r="AC21" s="122">
        <f t="shared" si="5"/>
        <v>41019</v>
      </c>
      <c r="AD21" s="122">
        <f t="shared" si="5"/>
        <v>0</v>
      </c>
      <c r="AE21" s="122">
        <f t="shared" si="5"/>
        <v>0</v>
      </c>
      <c r="AF21" s="122">
        <f t="shared" si="5"/>
        <v>0</v>
      </c>
      <c r="AG21" s="122">
        <f t="shared" si="5"/>
        <v>0</v>
      </c>
      <c r="AH21" s="122">
        <f t="shared" si="5"/>
        <v>0</v>
      </c>
      <c r="AI21" s="122">
        <f t="shared" si="5"/>
        <v>0</v>
      </c>
      <c r="AJ21" s="122">
        <f t="shared" si="5"/>
        <v>0</v>
      </c>
      <c r="AK21" s="122">
        <f t="shared" si="5"/>
        <v>0</v>
      </c>
      <c r="AL21" s="122">
        <f t="shared" si="5"/>
        <v>0</v>
      </c>
      <c r="AM21" s="122">
        <f t="shared" si="5"/>
        <v>0</v>
      </c>
      <c r="AN21" s="122">
        <f t="shared" si="5"/>
        <v>0</v>
      </c>
      <c r="AO21" s="122">
        <f t="shared" si="5"/>
        <v>0</v>
      </c>
      <c r="AP21" s="122">
        <f t="shared" si="5"/>
        <v>0</v>
      </c>
      <c r="AQ21" s="122">
        <f t="shared" si="5"/>
        <v>0</v>
      </c>
      <c r="AR21" s="122">
        <f t="shared" si="5"/>
        <v>41019</v>
      </c>
      <c r="AS21" s="122">
        <f t="shared" si="5"/>
        <v>0</v>
      </c>
      <c r="AT21" s="122">
        <f t="shared" si="5"/>
        <v>0</v>
      </c>
      <c r="AU21" s="122">
        <f t="shared" si="5"/>
        <v>0</v>
      </c>
      <c r="AV21" s="122">
        <f t="shared" si="5"/>
        <v>0</v>
      </c>
      <c r="AW21" s="122">
        <f t="shared" si="5"/>
        <v>0</v>
      </c>
      <c r="AX21" s="122">
        <f t="shared" si="5"/>
        <v>0</v>
      </c>
      <c r="AY21" s="122">
        <f t="shared" si="5"/>
        <v>0</v>
      </c>
      <c r="AZ21" s="122">
        <f t="shared" si="5"/>
        <v>0</v>
      </c>
      <c r="BA21" s="122">
        <f t="shared" si="5"/>
        <v>0</v>
      </c>
      <c r="BB21" s="122">
        <f t="shared" si="5"/>
        <v>0</v>
      </c>
      <c r="BC21" s="123">
        <f t="shared" si="5"/>
        <v>0</v>
      </c>
    </row>
    <row r="22" spans="1:55" s="3" customFormat="1" ht="15" customHeight="1" x14ac:dyDescent="0.2">
      <c r="A22" s="353"/>
      <c r="B22" s="142"/>
      <c r="C22" s="70"/>
      <c r="D22" s="71" t="s">
        <v>34</v>
      </c>
      <c r="E22" s="58" t="s">
        <v>7</v>
      </c>
      <c r="F22" s="58" t="s">
        <v>166</v>
      </c>
      <c r="G22" s="59" t="s">
        <v>29</v>
      </c>
      <c r="H22" s="60">
        <v>2005</v>
      </c>
      <c r="I22" s="61" t="s">
        <v>33</v>
      </c>
      <c r="J22" s="62">
        <v>15</v>
      </c>
      <c r="K22" s="63">
        <f t="shared" ref="K22:K31" si="8">J22+H22</f>
        <v>2020</v>
      </c>
      <c r="L22" s="64">
        <v>2025</v>
      </c>
      <c r="M22" s="65">
        <v>2</v>
      </c>
      <c r="N22" s="66">
        <v>4719</v>
      </c>
      <c r="O22" s="91" t="s">
        <v>32</v>
      </c>
      <c r="P22" s="67">
        <f t="shared" si="2"/>
        <v>0</v>
      </c>
      <c r="Q22" s="68">
        <f t="shared" si="5"/>
        <v>0</v>
      </c>
      <c r="R22" s="68">
        <f t="shared" si="5"/>
        <v>4719</v>
      </c>
      <c r="S22" s="68">
        <f t="shared" si="5"/>
        <v>0</v>
      </c>
      <c r="T22" s="68">
        <f t="shared" si="5"/>
        <v>0</v>
      </c>
      <c r="U22" s="68">
        <f t="shared" si="5"/>
        <v>0</v>
      </c>
      <c r="V22" s="68">
        <f t="shared" si="5"/>
        <v>0</v>
      </c>
      <c r="W22" s="68">
        <f t="shared" si="5"/>
        <v>0</v>
      </c>
      <c r="X22" s="68">
        <f t="shared" si="5"/>
        <v>0</v>
      </c>
      <c r="Y22" s="68">
        <f t="shared" si="5"/>
        <v>0</v>
      </c>
      <c r="Z22" s="68">
        <f t="shared" si="5"/>
        <v>0</v>
      </c>
      <c r="AA22" s="68">
        <f t="shared" si="5"/>
        <v>0</v>
      </c>
      <c r="AB22" s="68">
        <f t="shared" si="5"/>
        <v>0</v>
      </c>
      <c r="AC22" s="68">
        <f t="shared" si="5"/>
        <v>0</v>
      </c>
      <c r="AD22" s="68">
        <f t="shared" si="5"/>
        <v>0</v>
      </c>
      <c r="AE22" s="68">
        <f t="shared" si="5"/>
        <v>0</v>
      </c>
      <c r="AF22" s="68">
        <f t="shared" si="5"/>
        <v>0</v>
      </c>
      <c r="AG22" s="68">
        <f t="shared" si="5"/>
        <v>4719</v>
      </c>
      <c r="AH22" s="68">
        <f t="shared" si="5"/>
        <v>0</v>
      </c>
      <c r="AI22" s="68">
        <f t="shared" si="5"/>
        <v>0</v>
      </c>
      <c r="AJ22" s="68">
        <f t="shared" si="5"/>
        <v>0</v>
      </c>
      <c r="AK22" s="68">
        <f t="shared" si="5"/>
        <v>0</v>
      </c>
      <c r="AL22" s="68">
        <f t="shared" si="5"/>
        <v>0</v>
      </c>
      <c r="AM22" s="68">
        <f t="shared" si="5"/>
        <v>0</v>
      </c>
      <c r="AN22" s="68">
        <f t="shared" si="5"/>
        <v>0</v>
      </c>
      <c r="AO22" s="68">
        <f t="shared" si="5"/>
        <v>0</v>
      </c>
      <c r="AP22" s="68">
        <f t="shared" si="5"/>
        <v>0</v>
      </c>
      <c r="AQ22" s="68">
        <f t="shared" si="5"/>
        <v>0</v>
      </c>
      <c r="AR22" s="68">
        <f t="shared" si="5"/>
        <v>0</v>
      </c>
      <c r="AS22" s="68">
        <f t="shared" si="5"/>
        <v>0</v>
      </c>
      <c r="AT22" s="68">
        <f t="shared" si="5"/>
        <v>0</v>
      </c>
      <c r="AU22" s="68">
        <f t="shared" si="5"/>
        <v>0</v>
      </c>
      <c r="AV22" s="68">
        <f t="shared" si="5"/>
        <v>4719</v>
      </c>
      <c r="AW22" s="68">
        <f t="shared" si="5"/>
        <v>0</v>
      </c>
      <c r="AX22" s="68">
        <f t="shared" si="5"/>
        <v>0</v>
      </c>
      <c r="AY22" s="68">
        <f t="shared" si="5"/>
        <v>0</v>
      </c>
      <c r="AZ22" s="68">
        <f t="shared" si="5"/>
        <v>0</v>
      </c>
      <c r="BA22" s="68">
        <f t="shared" si="5"/>
        <v>0</v>
      </c>
      <c r="BB22" s="68">
        <f t="shared" si="5"/>
        <v>0</v>
      </c>
      <c r="BC22" s="69">
        <f t="shared" si="5"/>
        <v>0</v>
      </c>
    </row>
    <row r="23" spans="1:55" s="3" customFormat="1" ht="15" customHeight="1" x14ac:dyDescent="0.2">
      <c r="A23" s="353"/>
      <c r="B23" s="142"/>
      <c r="C23" s="70"/>
      <c r="D23" s="72" t="s">
        <v>35</v>
      </c>
      <c r="E23" s="58"/>
      <c r="F23" s="58" t="s">
        <v>166</v>
      </c>
      <c r="G23" s="59" t="s">
        <v>6</v>
      </c>
      <c r="H23" s="60"/>
      <c r="I23" s="61" t="s">
        <v>33</v>
      </c>
      <c r="J23" s="62">
        <v>3</v>
      </c>
      <c r="K23" s="63">
        <f t="shared" si="8"/>
        <v>3</v>
      </c>
      <c r="L23" s="64">
        <v>2025</v>
      </c>
      <c r="M23" s="65">
        <v>2</v>
      </c>
      <c r="N23" s="66">
        <v>484</v>
      </c>
      <c r="O23" s="91" t="s">
        <v>32</v>
      </c>
      <c r="P23" s="67">
        <f t="shared" si="2"/>
        <v>0</v>
      </c>
      <c r="Q23" s="68">
        <f t="shared" si="5"/>
        <v>0</v>
      </c>
      <c r="R23" s="68">
        <f t="shared" si="5"/>
        <v>484</v>
      </c>
      <c r="S23" s="68">
        <f t="shared" si="5"/>
        <v>0</v>
      </c>
      <c r="T23" s="68">
        <f t="shared" si="5"/>
        <v>0</v>
      </c>
      <c r="U23" s="68">
        <f t="shared" si="5"/>
        <v>484</v>
      </c>
      <c r="V23" s="68">
        <f t="shared" si="5"/>
        <v>0</v>
      </c>
      <c r="W23" s="68">
        <f t="shared" si="5"/>
        <v>0</v>
      </c>
      <c r="X23" s="68">
        <f t="shared" si="5"/>
        <v>484</v>
      </c>
      <c r="Y23" s="68">
        <f t="shared" si="5"/>
        <v>0</v>
      </c>
      <c r="Z23" s="68">
        <f t="shared" si="5"/>
        <v>0</v>
      </c>
      <c r="AA23" s="68">
        <f t="shared" si="5"/>
        <v>484</v>
      </c>
      <c r="AB23" s="68">
        <f t="shared" si="5"/>
        <v>0</v>
      </c>
      <c r="AC23" s="68">
        <f t="shared" si="5"/>
        <v>0</v>
      </c>
      <c r="AD23" s="68">
        <f t="shared" si="5"/>
        <v>484</v>
      </c>
      <c r="AE23" s="68">
        <f t="shared" si="5"/>
        <v>0</v>
      </c>
      <c r="AF23" s="68">
        <f t="shared" si="5"/>
        <v>0</v>
      </c>
      <c r="AG23" s="68">
        <f t="shared" si="5"/>
        <v>484</v>
      </c>
      <c r="AH23" s="68">
        <f t="shared" si="5"/>
        <v>0</v>
      </c>
      <c r="AI23" s="68">
        <f t="shared" si="5"/>
        <v>0</v>
      </c>
      <c r="AJ23" s="68">
        <f t="shared" si="5"/>
        <v>484</v>
      </c>
      <c r="AK23" s="68">
        <f t="shared" si="5"/>
        <v>0</v>
      </c>
      <c r="AL23" s="68">
        <f t="shared" si="5"/>
        <v>0</v>
      </c>
      <c r="AM23" s="68">
        <f t="shared" si="5"/>
        <v>484</v>
      </c>
      <c r="AN23" s="68">
        <f t="shared" si="5"/>
        <v>0</v>
      </c>
      <c r="AO23" s="68">
        <f t="shared" si="5"/>
        <v>0</v>
      </c>
      <c r="AP23" s="68">
        <f t="shared" si="5"/>
        <v>484</v>
      </c>
      <c r="AQ23" s="68">
        <f t="shared" si="5"/>
        <v>0</v>
      </c>
      <c r="AR23" s="68">
        <f t="shared" si="5"/>
        <v>0</v>
      </c>
      <c r="AS23" s="68">
        <f t="shared" si="5"/>
        <v>484</v>
      </c>
      <c r="AT23" s="68">
        <f t="shared" si="5"/>
        <v>0</v>
      </c>
      <c r="AU23" s="68">
        <f t="shared" si="5"/>
        <v>0</v>
      </c>
      <c r="AV23" s="68">
        <f t="shared" si="5"/>
        <v>484</v>
      </c>
      <c r="AW23" s="68">
        <f t="shared" si="5"/>
        <v>0</v>
      </c>
      <c r="AX23" s="68">
        <f t="shared" si="5"/>
        <v>0</v>
      </c>
      <c r="AY23" s="68">
        <f t="shared" si="5"/>
        <v>484</v>
      </c>
      <c r="AZ23" s="68">
        <f t="shared" si="5"/>
        <v>0</v>
      </c>
      <c r="BA23" s="68">
        <f t="shared" si="5"/>
        <v>0</v>
      </c>
      <c r="BB23" s="68">
        <f t="shared" si="5"/>
        <v>484</v>
      </c>
      <c r="BC23" s="69">
        <f t="shared" si="5"/>
        <v>0</v>
      </c>
    </row>
    <row r="24" spans="1:55" s="3" customFormat="1" ht="15" customHeight="1" x14ac:dyDescent="0.2">
      <c r="A24" s="353"/>
      <c r="B24" s="142"/>
      <c r="C24" s="70"/>
      <c r="D24" s="72" t="s">
        <v>209</v>
      </c>
      <c r="E24" s="58"/>
      <c r="F24" s="58" t="s">
        <v>166</v>
      </c>
      <c r="G24" s="59" t="s">
        <v>2</v>
      </c>
      <c r="H24" s="60"/>
      <c r="I24" s="61" t="s">
        <v>33</v>
      </c>
      <c r="J24" s="62">
        <v>5</v>
      </c>
      <c r="K24" s="63">
        <f t="shared" si="8"/>
        <v>5</v>
      </c>
      <c r="L24" s="64">
        <v>2026</v>
      </c>
      <c r="M24" s="65">
        <v>4</v>
      </c>
      <c r="N24" s="66">
        <v>605</v>
      </c>
      <c r="O24" s="91" t="s">
        <v>32</v>
      </c>
      <c r="P24" s="67">
        <f t="shared" si="2"/>
        <v>0</v>
      </c>
      <c r="Q24" s="68">
        <f t="shared" si="2"/>
        <v>0</v>
      </c>
      <c r="R24" s="68">
        <f t="shared" si="2"/>
        <v>0</v>
      </c>
      <c r="S24" s="68">
        <f t="shared" si="2"/>
        <v>605</v>
      </c>
      <c r="T24" s="68">
        <f t="shared" si="2"/>
        <v>0</v>
      </c>
      <c r="U24" s="68">
        <f t="shared" si="2"/>
        <v>0</v>
      </c>
      <c r="V24" s="68">
        <f t="shared" si="2"/>
        <v>0</v>
      </c>
      <c r="W24" s="68">
        <f t="shared" si="2"/>
        <v>0</v>
      </c>
      <c r="X24" s="68">
        <f t="shared" si="2"/>
        <v>605</v>
      </c>
      <c r="Y24" s="68">
        <f t="shared" si="2"/>
        <v>0</v>
      </c>
      <c r="Z24" s="68">
        <f t="shared" si="2"/>
        <v>0</v>
      </c>
      <c r="AA24" s="68">
        <f t="shared" si="2"/>
        <v>0</v>
      </c>
      <c r="AB24" s="68">
        <f t="shared" si="2"/>
        <v>0</v>
      </c>
      <c r="AC24" s="68">
        <f t="shared" si="2"/>
        <v>605</v>
      </c>
      <c r="AD24" s="68">
        <f t="shared" si="2"/>
        <v>0</v>
      </c>
      <c r="AE24" s="68">
        <f t="shared" si="2"/>
        <v>0</v>
      </c>
      <c r="AF24" s="68">
        <f t="shared" ref="AF24:BC24" si="9">IF($F24="Ja",IF(MOD($L24-AF$10,$J24)=0,$N24,0),0)</f>
        <v>0</v>
      </c>
      <c r="AG24" s="68">
        <f t="shared" si="9"/>
        <v>0</v>
      </c>
      <c r="AH24" s="68">
        <f t="shared" si="9"/>
        <v>605</v>
      </c>
      <c r="AI24" s="68">
        <f t="shared" si="9"/>
        <v>0</v>
      </c>
      <c r="AJ24" s="68">
        <f t="shared" si="9"/>
        <v>0</v>
      </c>
      <c r="AK24" s="68">
        <f t="shared" si="9"/>
        <v>0</v>
      </c>
      <c r="AL24" s="68">
        <f t="shared" si="9"/>
        <v>0</v>
      </c>
      <c r="AM24" s="68">
        <f t="shared" si="9"/>
        <v>605</v>
      </c>
      <c r="AN24" s="68">
        <f t="shared" si="9"/>
        <v>0</v>
      </c>
      <c r="AO24" s="68">
        <f t="shared" si="9"/>
        <v>0</v>
      </c>
      <c r="AP24" s="68">
        <f t="shared" si="9"/>
        <v>0</v>
      </c>
      <c r="AQ24" s="68">
        <f t="shared" si="9"/>
        <v>0</v>
      </c>
      <c r="AR24" s="68">
        <f t="shared" si="9"/>
        <v>605</v>
      </c>
      <c r="AS24" s="68">
        <f t="shared" si="9"/>
        <v>0</v>
      </c>
      <c r="AT24" s="68">
        <f t="shared" si="9"/>
        <v>0</v>
      </c>
      <c r="AU24" s="68">
        <f t="shared" si="9"/>
        <v>0</v>
      </c>
      <c r="AV24" s="68">
        <f t="shared" si="9"/>
        <v>0</v>
      </c>
      <c r="AW24" s="68">
        <f t="shared" si="9"/>
        <v>605</v>
      </c>
      <c r="AX24" s="68">
        <f t="shared" si="9"/>
        <v>0</v>
      </c>
      <c r="AY24" s="68">
        <f t="shared" si="9"/>
        <v>0</v>
      </c>
      <c r="AZ24" s="68">
        <f t="shared" si="9"/>
        <v>0</v>
      </c>
      <c r="BA24" s="68">
        <f t="shared" si="9"/>
        <v>0</v>
      </c>
      <c r="BB24" s="68">
        <f t="shared" si="9"/>
        <v>605</v>
      </c>
      <c r="BC24" s="69">
        <f t="shared" si="9"/>
        <v>0</v>
      </c>
    </row>
    <row r="25" spans="1:55" s="3" customFormat="1" ht="15" customHeight="1" x14ac:dyDescent="0.2">
      <c r="A25" s="353"/>
      <c r="B25" s="142"/>
      <c r="C25" s="70"/>
      <c r="D25" s="72" t="s">
        <v>44</v>
      </c>
      <c r="E25" s="58" t="s">
        <v>7</v>
      </c>
      <c r="F25" s="58" t="s">
        <v>166</v>
      </c>
      <c r="G25" s="59" t="s">
        <v>6</v>
      </c>
      <c r="H25" s="60">
        <v>2019</v>
      </c>
      <c r="I25" s="61" t="s">
        <v>33</v>
      </c>
      <c r="J25" s="62">
        <v>20</v>
      </c>
      <c r="K25" s="63">
        <f>J25+H25</f>
        <v>2039</v>
      </c>
      <c r="L25" s="64">
        <f t="shared" ref="L25:L26" si="10">K25</f>
        <v>2039</v>
      </c>
      <c r="M25" s="64">
        <v>2</v>
      </c>
      <c r="N25" s="66">
        <v>12826</v>
      </c>
      <c r="O25" s="91" t="s">
        <v>32</v>
      </c>
      <c r="P25" s="67">
        <f t="shared" si="2"/>
        <v>0</v>
      </c>
      <c r="Q25" s="68">
        <f t="shared" si="5"/>
        <v>0</v>
      </c>
      <c r="R25" s="68">
        <f t="shared" si="5"/>
        <v>0</v>
      </c>
      <c r="S25" s="68">
        <f t="shared" si="5"/>
        <v>0</v>
      </c>
      <c r="T25" s="68">
        <f t="shared" si="5"/>
        <v>0</v>
      </c>
      <c r="U25" s="68">
        <f t="shared" si="5"/>
        <v>0</v>
      </c>
      <c r="V25" s="68">
        <f t="shared" si="5"/>
        <v>0</v>
      </c>
      <c r="W25" s="68">
        <f t="shared" si="5"/>
        <v>0</v>
      </c>
      <c r="X25" s="68">
        <f t="shared" si="5"/>
        <v>0</v>
      </c>
      <c r="Y25" s="68">
        <f t="shared" si="5"/>
        <v>0</v>
      </c>
      <c r="Z25" s="68">
        <f t="shared" si="5"/>
        <v>0</v>
      </c>
      <c r="AA25" s="68">
        <f t="shared" si="5"/>
        <v>0</v>
      </c>
      <c r="AB25" s="68">
        <f t="shared" si="5"/>
        <v>0</v>
      </c>
      <c r="AC25" s="68">
        <f t="shared" si="5"/>
        <v>0</v>
      </c>
      <c r="AD25" s="68">
        <f t="shared" si="5"/>
        <v>0</v>
      </c>
      <c r="AE25" s="68">
        <f t="shared" si="5"/>
        <v>0</v>
      </c>
      <c r="AF25" s="68">
        <f t="shared" si="5"/>
        <v>12826</v>
      </c>
      <c r="AG25" s="68">
        <f t="shared" si="5"/>
        <v>0</v>
      </c>
      <c r="AH25" s="68">
        <f t="shared" si="5"/>
        <v>0</v>
      </c>
      <c r="AI25" s="68">
        <f t="shared" si="5"/>
        <v>0</v>
      </c>
      <c r="AJ25" s="68">
        <f t="shared" si="5"/>
        <v>0</v>
      </c>
      <c r="AK25" s="68">
        <f t="shared" si="5"/>
        <v>0</v>
      </c>
      <c r="AL25" s="68">
        <f t="shared" si="5"/>
        <v>0</v>
      </c>
      <c r="AM25" s="68">
        <f t="shared" si="5"/>
        <v>0</v>
      </c>
      <c r="AN25" s="68">
        <f t="shared" si="5"/>
        <v>0</v>
      </c>
      <c r="AO25" s="68">
        <f t="shared" si="5"/>
        <v>0</v>
      </c>
      <c r="AP25" s="68">
        <f t="shared" si="5"/>
        <v>0</v>
      </c>
      <c r="AQ25" s="68">
        <f t="shared" si="5"/>
        <v>0</v>
      </c>
      <c r="AR25" s="68">
        <f t="shared" si="5"/>
        <v>0</v>
      </c>
      <c r="AS25" s="68">
        <f t="shared" si="5"/>
        <v>0</v>
      </c>
      <c r="AT25" s="68">
        <f t="shared" si="5"/>
        <v>0</v>
      </c>
      <c r="AU25" s="68">
        <f t="shared" si="5"/>
        <v>0</v>
      </c>
      <c r="AV25" s="68">
        <f t="shared" si="5"/>
        <v>0</v>
      </c>
      <c r="AW25" s="68">
        <f t="shared" si="5"/>
        <v>0</v>
      </c>
      <c r="AX25" s="68">
        <f t="shared" si="5"/>
        <v>0</v>
      </c>
      <c r="AY25" s="68">
        <f t="shared" si="5"/>
        <v>0</v>
      </c>
      <c r="AZ25" s="68">
        <f t="shared" si="5"/>
        <v>12826</v>
      </c>
      <c r="BA25" s="68">
        <f t="shared" si="5"/>
        <v>0</v>
      </c>
      <c r="BB25" s="68">
        <f t="shared" si="5"/>
        <v>0</v>
      </c>
      <c r="BC25" s="69">
        <f t="shared" si="5"/>
        <v>0</v>
      </c>
    </row>
    <row r="26" spans="1:55" s="3" customFormat="1" ht="15" customHeight="1" x14ac:dyDescent="0.2">
      <c r="A26" s="353"/>
      <c r="B26" s="142"/>
      <c r="C26" s="70"/>
      <c r="D26" s="72" t="s">
        <v>37</v>
      </c>
      <c r="E26" s="58" t="s">
        <v>3</v>
      </c>
      <c r="F26" s="58" t="s">
        <v>166</v>
      </c>
      <c r="G26" s="59" t="s">
        <v>29</v>
      </c>
      <c r="H26" s="60">
        <v>2021</v>
      </c>
      <c r="I26" s="61" t="s">
        <v>33</v>
      </c>
      <c r="J26" s="62">
        <v>20</v>
      </c>
      <c r="K26" s="63">
        <f>J26+H26</f>
        <v>2041</v>
      </c>
      <c r="L26" s="64">
        <f t="shared" si="10"/>
        <v>2041</v>
      </c>
      <c r="M26" s="64">
        <v>310</v>
      </c>
      <c r="N26" s="66">
        <v>15125</v>
      </c>
      <c r="O26" s="91" t="s">
        <v>38</v>
      </c>
      <c r="P26" s="67">
        <f t="shared" si="2"/>
        <v>0</v>
      </c>
      <c r="Q26" s="68">
        <f t="shared" si="5"/>
        <v>0</v>
      </c>
      <c r="R26" s="68">
        <f t="shared" si="5"/>
        <v>0</v>
      </c>
      <c r="S26" s="68">
        <f t="shared" si="5"/>
        <v>0</v>
      </c>
      <c r="T26" s="68">
        <f t="shared" si="5"/>
        <v>0</v>
      </c>
      <c r="U26" s="68">
        <f t="shared" si="5"/>
        <v>0</v>
      </c>
      <c r="V26" s="68">
        <f t="shared" si="5"/>
        <v>0</v>
      </c>
      <c r="W26" s="68">
        <f t="shared" si="5"/>
        <v>0</v>
      </c>
      <c r="X26" s="68">
        <f t="shared" si="5"/>
        <v>0</v>
      </c>
      <c r="Y26" s="68">
        <f t="shared" si="5"/>
        <v>0</v>
      </c>
      <c r="Z26" s="68">
        <f t="shared" si="5"/>
        <v>0</v>
      </c>
      <c r="AA26" s="68">
        <f t="shared" si="5"/>
        <v>0</v>
      </c>
      <c r="AB26" s="68">
        <f t="shared" si="5"/>
        <v>0</v>
      </c>
      <c r="AC26" s="68">
        <f t="shared" si="5"/>
        <v>0</v>
      </c>
      <c r="AD26" s="68">
        <f t="shared" si="5"/>
        <v>0</v>
      </c>
      <c r="AE26" s="68">
        <f t="shared" si="5"/>
        <v>0</v>
      </c>
      <c r="AF26" s="68">
        <f t="shared" si="5"/>
        <v>0</v>
      </c>
      <c r="AG26" s="68">
        <f t="shared" si="5"/>
        <v>0</v>
      </c>
      <c r="AH26" s="68">
        <f t="shared" si="5"/>
        <v>15125</v>
      </c>
      <c r="AI26" s="68">
        <f t="shared" si="5"/>
        <v>0</v>
      </c>
      <c r="AJ26" s="68">
        <f t="shared" si="5"/>
        <v>0</v>
      </c>
      <c r="AK26" s="68">
        <f t="shared" si="5"/>
        <v>0</v>
      </c>
      <c r="AL26" s="68">
        <f t="shared" si="5"/>
        <v>0</v>
      </c>
      <c r="AM26" s="68">
        <f t="shared" si="5"/>
        <v>0</v>
      </c>
      <c r="AN26" s="68">
        <f t="shared" si="5"/>
        <v>0</v>
      </c>
      <c r="AO26" s="68">
        <f t="shared" si="5"/>
        <v>0</v>
      </c>
      <c r="AP26" s="68">
        <f t="shared" si="5"/>
        <v>0</v>
      </c>
      <c r="AQ26" s="68">
        <f t="shared" si="5"/>
        <v>0</v>
      </c>
      <c r="AR26" s="68">
        <f t="shared" si="5"/>
        <v>0</v>
      </c>
      <c r="AS26" s="68">
        <f t="shared" si="5"/>
        <v>0</v>
      </c>
      <c r="AT26" s="68">
        <f t="shared" si="5"/>
        <v>0</v>
      </c>
      <c r="AU26" s="68">
        <f t="shared" si="5"/>
        <v>0</v>
      </c>
      <c r="AV26" s="68">
        <f t="shared" si="5"/>
        <v>0</v>
      </c>
      <c r="AW26" s="68">
        <f t="shared" si="5"/>
        <v>0</v>
      </c>
      <c r="AX26" s="68">
        <f t="shared" si="5"/>
        <v>0</v>
      </c>
      <c r="AY26" s="68">
        <f t="shared" si="5"/>
        <v>0</v>
      </c>
      <c r="AZ26" s="68">
        <f t="shared" si="5"/>
        <v>0</v>
      </c>
      <c r="BA26" s="68">
        <f t="shared" si="5"/>
        <v>0</v>
      </c>
      <c r="BB26" s="68">
        <f t="shared" si="5"/>
        <v>15125</v>
      </c>
      <c r="BC26" s="69">
        <f t="shared" si="5"/>
        <v>0</v>
      </c>
    </row>
    <row r="27" spans="1:55" s="3" customFormat="1" ht="15" customHeight="1" x14ac:dyDescent="0.2">
      <c r="A27" s="353"/>
      <c r="B27" s="142"/>
      <c r="C27" s="70"/>
      <c r="D27" s="72" t="s">
        <v>39</v>
      </c>
      <c r="E27" s="58" t="s">
        <v>3</v>
      </c>
      <c r="F27" s="58" t="s">
        <v>166</v>
      </c>
      <c r="G27" s="59" t="s">
        <v>29</v>
      </c>
      <c r="H27" s="60">
        <v>2021</v>
      </c>
      <c r="I27" s="61" t="s">
        <v>33</v>
      </c>
      <c r="J27" s="62">
        <v>20</v>
      </c>
      <c r="K27" s="63">
        <f t="shared" si="8"/>
        <v>2041</v>
      </c>
      <c r="L27" s="64">
        <f t="shared" ref="L27" si="11">K27</f>
        <v>2041</v>
      </c>
      <c r="M27" s="64">
        <v>50</v>
      </c>
      <c r="N27" s="66">
        <v>12342</v>
      </c>
      <c r="O27" s="91" t="s">
        <v>38</v>
      </c>
      <c r="P27" s="67">
        <f t="shared" si="2"/>
        <v>0</v>
      </c>
      <c r="Q27" s="68">
        <f t="shared" si="5"/>
        <v>0</v>
      </c>
      <c r="R27" s="68">
        <f t="shared" si="5"/>
        <v>0</v>
      </c>
      <c r="S27" s="68">
        <f t="shared" si="5"/>
        <v>0</v>
      </c>
      <c r="T27" s="68">
        <f t="shared" si="5"/>
        <v>0</v>
      </c>
      <c r="U27" s="68">
        <f t="shared" si="5"/>
        <v>0</v>
      </c>
      <c r="V27" s="68">
        <f t="shared" si="5"/>
        <v>0</v>
      </c>
      <c r="W27" s="68">
        <f t="shared" si="5"/>
        <v>0</v>
      </c>
      <c r="X27" s="68">
        <f t="shared" si="5"/>
        <v>0</v>
      </c>
      <c r="Y27" s="68">
        <f t="shared" si="5"/>
        <v>0</v>
      </c>
      <c r="Z27" s="68">
        <f t="shared" si="5"/>
        <v>0</v>
      </c>
      <c r="AA27" s="68">
        <f t="shared" si="5"/>
        <v>0</v>
      </c>
      <c r="AB27" s="68">
        <f t="shared" si="5"/>
        <v>0</v>
      </c>
      <c r="AC27" s="68">
        <f t="shared" si="5"/>
        <v>0</v>
      </c>
      <c r="AD27" s="68">
        <f t="shared" si="5"/>
        <v>0</v>
      </c>
      <c r="AE27" s="68">
        <f t="shared" si="5"/>
        <v>0</v>
      </c>
      <c r="AF27" s="68">
        <f t="shared" si="5"/>
        <v>0</v>
      </c>
      <c r="AG27" s="68">
        <f t="shared" si="5"/>
        <v>0</v>
      </c>
      <c r="AH27" s="68">
        <f t="shared" si="5"/>
        <v>12342</v>
      </c>
      <c r="AI27" s="68">
        <f t="shared" ref="Q27:BC34" si="12">IF($F27="Ja",IF(MOD($L27-AI$10,$J27)=0,$N27,0),0)</f>
        <v>0</v>
      </c>
      <c r="AJ27" s="68">
        <f t="shared" si="12"/>
        <v>0</v>
      </c>
      <c r="AK27" s="68">
        <f t="shared" si="12"/>
        <v>0</v>
      </c>
      <c r="AL27" s="68">
        <f t="shared" si="12"/>
        <v>0</v>
      </c>
      <c r="AM27" s="68">
        <f t="shared" si="12"/>
        <v>0</v>
      </c>
      <c r="AN27" s="68">
        <f t="shared" si="12"/>
        <v>0</v>
      </c>
      <c r="AO27" s="68">
        <f t="shared" si="12"/>
        <v>0</v>
      </c>
      <c r="AP27" s="68">
        <f t="shared" si="12"/>
        <v>0</v>
      </c>
      <c r="AQ27" s="68">
        <f t="shared" si="12"/>
        <v>0</v>
      </c>
      <c r="AR27" s="68">
        <f t="shared" si="12"/>
        <v>0</v>
      </c>
      <c r="AS27" s="68">
        <f t="shared" si="12"/>
        <v>0</v>
      </c>
      <c r="AT27" s="68">
        <f t="shared" si="12"/>
        <v>0</v>
      </c>
      <c r="AU27" s="68">
        <f t="shared" si="12"/>
        <v>0</v>
      </c>
      <c r="AV27" s="68">
        <f t="shared" si="12"/>
        <v>0</v>
      </c>
      <c r="AW27" s="68">
        <f t="shared" si="12"/>
        <v>0</v>
      </c>
      <c r="AX27" s="68">
        <f t="shared" si="12"/>
        <v>0</v>
      </c>
      <c r="AY27" s="68">
        <f t="shared" si="12"/>
        <v>0</v>
      </c>
      <c r="AZ27" s="68">
        <f t="shared" si="12"/>
        <v>0</v>
      </c>
      <c r="BA27" s="68">
        <f t="shared" si="12"/>
        <v>0</v>
      </c>
      <c r="BB27" s="68">
        <f t="shared" si="12"/>
        <v>12342</v>
      </c>
      <c r="BC27" s="69">
        <f t="shared" si="12"/>
        <v>0</v>
      </c>
    </row>
    <row r="28" spans="1:55" s="3" customFormat="1" ht="15" customHeight="1" x14ac:dyDescent="0.2">
      <c r="A28" s="353"/>
      <c r="B28" s="142"/>
      <c r="C28" s="70"/>
      <c r="D28" s="73" t="s">
        <v>40</v>
      </c>
      <c r="E28" s="74" t="s">
        <v>7</v>
      </c>
      <c r="F28" s="74" t="s">
        <v>166</v>
      </c>
      <c r="G28" s="59" t="s">
        <v>29</v>
      </c>
      <c r="H28" s="60">
        <v>2021</v>
      </c>
      <c r="I28" s="61" t="s">
        <v>33</v>
      </c>
      <c r="J28" s="62">
        <v>5</v>
      </c>
      <c r="K28" s="63">
        <f t="shared" si="8"/>
        <v>2026</v>
      </c>
      <c r="L28" s="64">
        <f t="shared" ref="L28:L31" si="13">K28</f>
        <v>2026</v>
      </c>
      <c r="M28" s="64">
        <f>M27*3</f>
        <v>150</v>
      </c>
      <c r="N28" s="66">
        <v>2057</v>
      </c>
      <c r="O28" s="91" t="s">
        <v>31</v>
      </c>
      <c r="P28" s="67">
        <f t="shared" si="2"/>
        <v>0</v>
      </c>
      <c r="Q28" s="68">
        <f t="shared" si="12"/>
        <v>0</v>
      </c>
      <c r="R28" s="68">
        <f t="shared" si="12"/>
        <v>0</v>
      </c>
      <c r="S28" s="68">
        <f t="shared" si="12"/>
        <v>2057</v>
      </c>
      <c r="T28" s="68">
        <f t="shared" si="12"/>
        <v>0</v>
      </c>
      <c r="U28" s="68">
        <f t="shared" si="12"/>
        <v>0</v>
      </c>
      <c r="V28" s="68">
        <f t="shared" si="12"/>
        <v>0</v>
      </c>
      <c r="W28" s="68">
        <f t="shared" si="12"/>
        <v>0</v>
      </c>
      <c r="X28" s="68">
        <f t="shared" si="12"/>
        <v>2057</v>
      </c>
      <c r="Y28" s="68">
        <f t="shared" si="12"/>
        <v>0</v>
      </c>
      <c r="Z28" s="68">
        <f t="shared" si="12"/>
        <v>0</v>
      </c>
      <c r="AA28" s="68">
        <f t="shared" si="12"/>
        <v>0</v>
      </c>
      <c r="AB28" s="68">
        <f t="shared" si="12"/>
        <v>0</v>
      </c>
      <c r="AC28" s="68">
        <f t="shared" si="12"/>
        <v>2057</v>
      </c>
      <c r="AD28" s="68">
        <f t="shared" si="12"/>
        <v>0</v>
      </c>
      <c r="AE28" s="68">
        <f t="shared" si="12"/>
        <v>0</v>
      </c>
      <c r="AF28" s="68">
        <f t="shared" si="12"/>
        <v>0</v>
      </c>
      <c r="AG28" s="68">
        <f t="shared" si="12"/>
        <v>0</v>
      </c>
      <c r="AH28" s="68">
        <f t="shared" si="12"/>
        <v>2057</v>
      </c>
      <c r="AI28" s="68">
        <f t="shared" si="12"/>
        <v>0</v>
      </c>
      <c r="AJ28" s="68">
        <f t="shared" si="12"/>
        <v>0</v>
      </c>
      <c r="AK28" s="68">
        <f t="shared" si="12"/>
        <v>0</v>
      </c>
      <c r="AL28" s="68">
        <f t="shared" si="12"/>
        <v>0</v>
      </c>
      <c r="AM28" s="68">
        <f t="shared" si="12"/>
        <v>2057</v>
      </c>
      <c r="AN28" s="68">
        <f t="shared" si="12"/>
        <v>0</v>
      </c>
      <c r="AO28" s="68">
        <f t="shared" si="12"/>
        <v>0</v>
      </c>
      <c r="AP28" s="68">
        <f t="shared" si="12"/>
        <v>0</v>
      </c>
      <c r="AQ28" s="68">
        <f t="shared" si="12"/>
        <v>0</v>
      </c>
      <c r="AR28" s="68">
        <f t="shared" si="12"/>
        <v>2057</v>
      </c>
      <c r="AS28" s="68">
        <f t="shared" si="12"/>
        <v>0</v>
      </c>
      <c r="AT28" s="68">
        <f t="shared" si="12"/>
        <v>0</v>
      </c>
      <c r="AU28" s="68">
        <f t="shared" si="12"/>
        <v>0</v>
      </c>
      <c r="AV28" s="68">
        <f t="shared" si="12"/>
        <v>0</v>
      </c>
      <c r="AW28" s="68">
        <f t="shared" si="12"/>
        <v>2057</v>
      </c>
      <c r="AX28" s="68">
        <f t="shared" si="12"/>
        <v>0</v>
      </c>
      <c r="AY28" s="68">
        <f t="shared" si="12"/>
        <v>0</v>
      </c>
      <c r="AZ28" s="68">
        <f t="shared" si="12"/>
        <v>0</v>
      </c>
      <c r="BA28" s="68">
        <f t="shared" si="12"/>
        <v>0</v>
      </c>
      <c r="BB28" s="68">
        <f t="shared" si="12"/>
        <v>2057</v>
      </c>
      <c r="BC28" s="69">
        <f t="shared" si="12"/>
        <v>0</v>
      </c>
    </row>
    <row r="29" spans="1:55" s="3" customFormat="1" ht="15" customHeight="1" x14ac:dyDescent="0.2">
      <c r="A29" s="353"/>
      <c r="B29" s="142"/>
      <c r="C29" s="70"/>
      <c r="D29" s="72" t="s">
        <v>41</v>
      </c>
      <c r="E29" s="58"/>
      <c r="F29" s="58" t="s">
        <v>166</v>
      </c>
      <c r="G29" s="59" t="s">
        <v>6</v>
      </c>
      <c r="H29" s="60">
        <v>2017</v>
      </c>
      <c r="I29" s="61" t="s">
        <v>33</v>
      </c>
      <c r="J29" s="62">
        <v>30</v>
      </c>
      <c r="K29" s="63">
        <f t="shared" si="8"/>
        <v>2047</v>
      </c>
      <c r="L29" s="64">
        <f t="shared" si="13"/>
        <v>2047</v>
      </c>
      <c r="M29" s="64">
        <v>1</v>
      </c>
      <c r="N29" s="66">
        <v>20570</v>
      </c>
      <c r="O29" s="91" t="s">
        <v>32</v>
      </c>
      <c r="P29" s="67">
        <f t="shared" si="2"/>
        <v>0</v>
      </c>
      <c r="Q29" s="68">
        <f t="shared" si="12"/>
        <v>0</v>
      </c>
      <c r="R29" s="68">
        <f t="shared" si="12"/>
        <v>0</v>
      </c>
      <c r="S29" s="68">
        <f t="shared" si="12"/>
        <v>0</v>
      </c>
      <c r="T29" s="68">
        <f t="shared" si="12"/>
        <v>0</v>
      </c>
      <c r="U29" s="68">
        <f t="shared" si="12"/>
        <v>0</v>
      </c>
      <c r="V29" s="68">
        <f t="shared" si="12"/>
        <v>0</v>
      </c>
      <c r="W29" s="68">
        <f t="shared" si="12"/>
        <v>0</v>
      </c>
      <c r="X29" s="68">
        <f t="shared" si="12"/>
        <v>0</v>
      </c>
      <c r="Y29" s="68">
        <f t="shared" si="12"/>
        <v>0</v>
      </c>
      <c r="Z29" s="68">
        <f t="shared" si="12"/>
        <v>0</v>
      </c>
      <c r="AA29" s="68">
        <f t="shared" si="12"/>
        <v>0</v>
      </c>
      <c r="AB29" s="68">
        <f t="shared" si="12"/>
        <v>0</v>
      </c>
      <c r="AC29" s="68">
        <f t="shared" si="12"/>
        <v>0</v>
      </c>
      <c r="AD29" s="68">
        <f t="shared" si="12"/>
        <v>0</v>
      </c>
      <c r="AE29" s="68">
        <f t="shared" si="12"/>
        <v>0</v>
      </c>
      <c r="AF29" s="68">
        <f t="shared" si="12"/>
        <v>0</v>
      </c>
      <c r="AG29" s="68">
        <f t="shared" si="12"/>
        <v>0</v>
      </c>
      <c r="AH29" s="68">
        <f t="shared" si="12"/>
        <v>0</v>
      </c>
      <c r="AI29" s="68">
        <f t="shared" si="12"/>
        <v>0</v>
      </c>
      <c r="AJ29" s="68">
        <f t="shared" si="12"/>
        <v>0</v>
      </c>
      <c r="AK29" s="68">
        <f t="shared" si="12"/>
        <v>0</v>
      </c>
      <c r="AL29" s="68">
        <f t="shared" si="12"/>
        <v>0</v>
      </c>
      <c r="AM29" s="68">
        <f t="shared" si="12"/>
        <v>0</v>
      </c>
      <c r="AN29" s="68">
        <f t="shared" si="12"/>
        <v>20570</v>
      </c>
      <c r="AO29" s="68">
        <f t="shared" si="12"/>
        <v>0</v>
      </c>
      <c r="AP29" s="68">
        <f t="shared" si="12"/>
        <v>0</v>
      </c>
      <c r="AQ29" s="68">
        <f t="shared" si="12"/>
        <v>0</v>
      </c>
      <c r="AR29" s="68">
        <f t="shared" si="12"/>
        <v>0</v>
      </c>
      <c r="AS29" s="68">
        <f t="shared" si="12"/>
        <v>0</v>
      </c>
      <c r="AT29" s="68">
        <f t="shared" si="12"/>
        <v>0</v>
      </c>
      <c r="AU29" s="68">
        <f t="shared" si="12"/>
        <v>0</v>
      </c>
      <c r="AV29" s="68">
        <f t="shared" si="12"/>
        <v>0</v>
      </c>
      <c r="AW29" s="68">
        <f t="shared" si="12"/>
        <v>0</v>
      </c>
      <c r="AX29" s="68">
        <f t="shared" si="12"/>
        <v>0</v>
      </c>
      <c r="AY29" s="68">
        <f t="shared" si="12"/>
        <v>0</v>
      </c>
      <c r="AZ29" s="68">
        <f t="shared" si="12"/>
        <v>0</v>
      </c>
      <c r="BA29" s="68">
        <f t="shared" si="12"/>
        <v>0</v>
      </c>
      <c r="BB29" s="68">
        <f t="shared" si="12"/>
        <v>0</v>
      </c>
      <c r="BC29" s="69">
        <f t="shared" si="12"/>
        <v>0</v>
      </c>
    </row>
    <row r="30" spans="1:55" s="3" customFormat="1" ht="15" customHeight="1" x14ac:dyDescent="0.2">
      <c r="A30" s="353"/>
      <c r="B30" s="142"/>
      <c r="C30" s="70"/>
      <c r="D30" s="86" t="s">
        <v>42</v>
      </c>
      <c r="E30" s="59"/>
      <c r="F30" s="342" t="s">
        <v>166</v>
      </c>
      <c r="G30" s="59" t="s">
        <v>6</v>
      </c>
      <c r="H30" s="60">
        <v>2022</v>
      </c>
      <c r="I30" s="61" t="s">
        <v>33</v>
      </c>
      <c r="J30" s="62">
        <v>30</v>
      </c>
      <c r="K30" s="63">
        <f t="shared" si="8"/>
        <v>2052</v>
      </c>
      <c r="L30" s="64">
        <f t="shared" si="13"/>
        <v>2052</v>
      </c>
      <c r="M30" s="64">
        <v>6</v>
      </c>
      <c r="N30" s="66">
        <v>20933</v>
      </c>
      <c r="O30" s="91" t="s">
        <v>32</v>
      </c>
      <c r="P30" s="67">
        <f t="shared" si="2"/>
        <v>0</v>
      </c>
      <c r="Q30" s="68">
        <f t="shared" si="12"/>
        <v>0</v>
      </c>
      <c r="R30" s="68">
        <f t="shared" si="12"/>
        <v>0</v>
      </c>
      <c r="S30" s="68">
        <f t="shared" si="12"/>
        <v>0</v>
      </c>
      <c r="T30" s="68">
        <f t="shared" si="12"/>
        <v>0</v>
      </c>
      <c r="U30" s="68">
        <f t="shared" si="12"/>
        <v>0</v>
      </c>
      <c r="V30" s="68">
        <f t="shared" si="12"/>
        <v>0</v>
      </c>
      <c r="W30" s="68">
        <f t="shared" si="12"/>
        <v>0</v>
      </c>
      <c r="X30" s="68">
        <f t="shared" si="12"/>
        <v>0</v>
      </c>
      <c r="Y30" s="68">
        <f t="shared" si="12"/>
        <v>0</v>
      </c>
      <c r="Z30" s="68">
        <f t="shared" si="12"/>
        <v>0</v>
      </c>
      <c r="AA30" s="68">
        <f t="shared" si="12"/>
        <v>0</v>
      </c>
      <c r="AB30" s="68">
        <f t="shared" si="12"/>
        <v>0</v>
      </c>
      <c r="AC30" s="68">
        <f t="shared" si="12"/>
        <v>0</v>
      </c>
      <c r="AD30" s="68">
        <f t="shared" si="12"/>
        <v>0</v>
      </c>
      <c r="AE30" s="68">
        <f t="shared" si="12"/>
        <v>0</v>
      </c>
      <c r="AF30" s="68">
        <f t="shared" si="12"/>
        <v>0</v>
      </c>
      <c r="AG30" s="68">
        <f t="shared" si="12"/>
        <v>0</v>
      </c>
      <c r="AH30" s="68">
        <f t="shared" si="12"/>
        <v>0</v>
      </c>
      <c r="AI30" s="68">
        <f t="shared" si="12"/>
        <v>0</v>
      </c>
      <c r="AJ30" s="68">
        <f t="shared" si="12"/>
        <v>0</v>
      </c>
      <c r="AK30" s="68">
        <f t="shared" si="12"/>
        <v>0</v>
      </c>
      <c r="AL30" s="68">
        <f t="shared" si="12"/>
        <v>0</v>
      </c>
      <c r="AM30" s="68">
        <f t="shared" si="12"/>
        <v>0</v>
      </c>
      <c r="AN30" s="68">
        <f t="shared" si="12"/>
        <v>0</v>
      </c>
      <c r="AO30" s="68">
        <f t="shared" si="12"/>
        <v>0</v>
      </c>
      <c r="AP30" s="68">
        <f t="shared" si="12"/>
        <v>0</v>
      </c>
      <c r="AQ30" s="68">
        <f t="shared" si="12"/>
        <v>0</v>
      </c>
      <c r="AR30" s="68">
        <f t="shared" si="12"/>
        <v>0</v>
      </c>
      <c r="AS30" s="68">
        <f t="shared" si="12"/>
        <v>20933</v>
      </c>
      <c r="AT30" s="68">
        <f t="shared" si="12"/>
        <v>0</v>
      </c>
      <c r="AU30" s="68">
        <f t="shared" si="12"/>
        <v>0</v>
      </c>
      <c r="AV30" s="68">
        <f t="shared" si="12"/>
        <v>0</v>
      </c>
      <c r="AW30" s="68">
        <f t="shared" si="12"/>
        <v>0</v>
      </c>
      <c r="AX30" s="68">
        <f t="shared" si="12"/>
        <v>0</v>
      </c>
      <c r="AY30" s="68">
        <f t="shared" si="12"/>
        <v>0</v>
      </c>
      <c r="AZ30" s="68">
        <f t="shared" si="12"/>
        <v>0</v>
      </c>
      <c r="BA30" s="68">
        <f t="shared" si="12"/>
        <v>0</v>
      </c>
      <c r="BB30" s="68">
        <f t="shared" si="12"/>
        <v>0</v>
      </c>
      <c r="BC30" s="69">
        <f t="shared" si="12"/>
        <v>0</v>
      </c>
    </row>
    <row r="31" spans="1:55" s="3" customFormat="1" ht="15" customHeight="1" x14ac:dyDescent="0.2">
      <c r="A31" s="353"/>
      <c r="B31" s="145"/>
      <c r="C31" s="75"/>
      <c r="D31" s="87" t="s">
        <v>43</v>
      </c>
      <c r="E31" s="76"/>
      <c r="F31" s="343" t="s">
        <v>166</v>
      </c>
      <c r="G31" s="76" t="s">
        <v>6</v>
      </c>
      <c r="H31" s="77">
        <v>2022</v>
      </c>
      <c r="I31" s="78" t="s">
        <v>33</v>
      </c>
      <c r="J31" s="79">
        <v>20</v>
      </c>
      <c r="K31" s="80">
        <f t="shared" si="8"/>
        <v>2042</v>
      </c>
      <c r="L31" s="81">
        <f t="shared" si="13"/>
        <v>2042</v>
      </c>
      <c r="M31" s="81">
        <v>12</v>
      </c>
      <c r="N31" s="82">
        <v>22264</v>
      </c>
      <c r="O31" s="129" t="s">
        <v>32</v>
      </c>
      <c r="P31" s="83">
        <f t="shared" si="2"/>
        <v>0</v>
      </c>
      <c r="Q31" s="84">
        <f t="shared" si="12"/>
        <v>0</v>
      </c>
      <c r="R31" s="84">
        <f t="shared" si="12"/>
        <v>0</v>
      </c>
      <c r="S31" s="84">
        <f t="shared" si="12"/>
        <v>0</v>
      </c>
      <c r="T31" s="84">
        <f t="shared" si="12"/>
        <v>0</v>
      </c>
      <c r="U31" s="84">
        <f t="shared" si="12"/>
        <v>0</v>
      </c>
      <c r="V31" s="84">
        <f t="shared" si="12"/>
        <v>0</v>
      </c>
      <c r="W31" s="84">
        <f t="shared" si="12"/>
        <v>0</v>
      </c>
      <c r="X31" s="84">
        <f t="shared" si="12"/>
        <v>0</v>
      </c>
      <c r="Y31" s="84">
        <f t="shared" si="12"/>
        <v>0</v>
      </c>
      <c r="Z31" s="84">
        <f t="shared" si="12"/>
        <v>0</v>
      </c>
      <c r="AA31" s="84">
        <f t="shared" si="12"/>
        <v>0</v>
      </c>
      <c r="AB31" s="84">
        <f t="shared" si="12"/>
        <v>0</v>
      </c>
      <c r="AC31" s="84">
        <f t="shared" si="12"/>
        <v>0</v>
      </c>
      <c r="AD31" s="84">
        <f t="shared" si="12"/>
        <v>0</v>
      </c>
      <c r="AE31" s="84">
        <f t="shared" si="12"/>
        <v>0</v>
      </c>
      <c r="AF31" s="84">
        <f t="shared" si="12"/>
        <v>0</v>
      </c>
      <c r="AG31" s="84">
        <f t="shared" si="12"/>
        <v>0</v>
      </c>
      <c r="AH31" s="84">
        <f t="shared" si="12"/>
        <v>0</v>
      </c>
      <c r="AI31" s="84">
        <f t="shared" si="12"/>
        <v>22264</v>
      </c>
      <c r="AJ31" s="84">
        <f t="shared" si="12"/>
        <v>0</v>
      </c>
      <c r="AK31" s="84">
        <f t="shared" si="12"/>
        <v>0</v>
      </c>
      <c r="AL31" s="84">
        <f t="shared" si="12"/>
        <v>0</v>
      </c>
      <c r="AM31" s="84">
        <f t="shared" si="12"/>
        <v>0</v>
      </c>
      <c r="AN31" s="84">
        <f t="shared" si="12"/>
        <v>0</v>
      </c>
      <c r="AO31" s="84">
        <f t="shared" si="12"/>
        <v>0</v>
      </c>
      <c r="AP31" s="84">
        <f t="shared" si="12"/>
        <v>0</v>
      </c>
      <c r="AQ31" s="84">
        <f t="shared" si="12"/>
        <v>0</v>
      </c>
      <c r="AR31" s="84">
        <f t="shared" si="12"/>
        <v>0</v>
      </c>
      <c r="AS31" s="84">
        <f t="shared" si="12"/>
        <v>0</v>
      </c>
      <c r="AT31" s="84">
        <f t="shared" si="12"/>
        <v>0</v>
      </c>
      <c r="AU31" s="84">
        <f t="shared" si="12"/>
        <v>0</v>
      </c>
      <c r="AV31" s="84">
        <f t="shared" si="12"/>
        <v>0</v>
      </c>
      <c r="AW31" s="84">
        <f t="shared" si="12"/>
        <v>0</v>
      </c>
      <c r="AX31" s="84">
        <f t="shared" si="12"/>
        <v>0</v>
      </c>
      <c r="AY31" s="84">
        <f t="shared" si="12"/>
        <v>0</v>
      </c>
      <c r="AZ31" s="84">
        <f t="shared" si="12"/>
        <v>0</v>
      </c>
      <c r="BA31" s="84">
        <f t="shared" si="12"/>
        <v>0</v>
      </c>
      <c r="BB31" s="84">
        <f t="shared" si="12"/>
        <v>0</v>
      </c>
      <c r="BC31" s="85">
        <f t="shared" si="12"/>
        <v>22264</v>
      </c>
    </row>
    <row r="32" spans="1:55" s="3" customFormat="1" ht="15" customHeight="1" x14ac:dyDescent="0.2">
      <c r="A32" s="353"/>
      <c r="B32" s="146"/>
      <c r="C32" s="147"/>
      <c r="D32" s="148"/>
      <c r="E32" s="149"/>
      <c r="F32" s="149"/>
      <c r="G32" s="150"/>
      <c r="H32" s="151"/>
      <c r="I32" s="152"/>
      <c r="J32" s="153"/>
      <c r="K32" s="154"/>
      <c r="L32" s="155"/>
      <c r="M32" s="155"/>
      <c r="N32" s="156"/>
      <c r="O32" s="157"/>
      <c r="P32" s="158">
        <f t="shared" ref="P32:BC32" si="14">SUM(P21:P31)</f>
        <v>0</v>
      </c>
      <c r="Q32" s="159">
        <f t="shared" si="14"/>
        <v>0</v>
      </c>
      <c r="R32" s="159">
        <f t="shared" si="14"/>
        <v>5203</v>
      </c>
      <c r="S32" s="159">
        <f t="shared" si="14"/>
        <v>2662</v>
      </c>
      <c r="T32" s="159">
        <f t="shared" si="14"/>
        <v>0</v>
      </c>
      <c r="U32" s="159">
        <f t="shared" si="14"/>
        <v>484</v>
      </c>
      <c r="V32" s="159">
        <f t="shared" si="14"/>
        <v>0</v>
      </c>
      <c r="W32" s="159">
        <f t="shared" si="14"/>
        <v>0</v>
      </c>
      <c r="X32" s="159">
        <f t="shared" si="14"/>
        <v>3146</v>
      </c>
      <c r="Y32" s="159">
        <f t="shared" si="14"/>
        <v>0</v>
      </c>
      <c r="Z32" s="159">
        <f t="shared" si="14"/>
        <v>0</v>
      </c>
      <c r="AA32" s="159">
        <f t="shared" si="14"/>
        <v>484</v>
      </c>
      <c r="AB32" s="159">
        <f t="shared" si="14"/>
        <v>0</v>
      </c>
      <c r="AC32" s="159">
        <f t="shared" si="14"/>
        <v>43681</v>
      </c>
      <c r="AD32" s="159">
        <f t="shared" si="14"/>
        <v>484</v>
      </c>
      <c r="AE32" s="159">
        <f t="shared" si="14"/>
        <v>0</v>
      </c>
      <c r="AF32" s="159">
        <f t="shared" si="14"/>
        <v>12826</v>
      </c>
      <c r="AG32" s="159">
        <f t="shared" si="14"/>
        <v>5203</v>
      </c>
      <c r="AH32" s="159">
        <f t="shared" si="14"/>
        <v>30129</v>
      </c>
      <c r="AI32" s="159">
        <f t="shared" si="14"/>
        <v>22264</v>
      </c>
      <c r="AJ32" s="159">
        <f t="shared" si="14"/>
        <v>484</v>
      </c>
      <c r="AK32" s="159">
        <f t="shared" si="14"/>
        <v>0</v>
      </c>
      <c r="AL32" s="159">
        <f t="shared" si="14"/>
        <v>0</v>
      </c>
      <c r="AM32" s="159">
        <f t="shared" si="14"/>
        <v>3146</v>
      </c>
      <c r="AN32" s="159">
        <f t="shared" si="14"/>
        <v>20570</v>
      </c>
      <c r="AO32" s="159">
        <f t="shared" si="14"/>
        <v>0</v>
      </c>
      <c r="AP32" s="159">
        <f t="shared" si="14"/>
        <v>484</v>
      </c>
      <c r="AQ32" s="159">
        <f t="shared" si="14"/>
        <v>0</v>
      </c>
      <c r="AR32" s="159">
        <f t="shared" si="14"/>
        <v>43681</v>
      </c>
      <c r="AS32" s="159">
        <f t="shared" si="14"/>
        <v>21417</v>
      </c>
      <c r="AT32" s="159">
        <f t="shared" si="14"/>
        <v>0</v>
      </c>
      <c r="AU32" s="159">
        <f t="shared" si="14"/>
        <v>0</v>
      </c>
      <c r="AV32" s="159">
        <f t="shared" si="14"/>
        <v>5203</v>
      </c>
      <c r="AW32" s="159">
        <f t="shared" si="14"/>
        <v>2662</v>
      </c>
      <c r="AX32" s="159">
        <f t="shared" si="14"/>
        <v>0</v>
      </c>
      <c r="AY32" s="159">
        <f t="shared" si="14"/>
        <v>484</v>
      </c>
      <c r="AZ32" s="159">
        <f t="shared" si="14"/>
        <v>12826</v>
      </c>
      <c r="BA32" s="159">
        <f t="shared" si="14"/>
        <v>0</v>
      </c>
      <c r="BB32" s="159">
        <f t="shared" si="14"/>
        <v>30613</v>
      </c>
      <c r="BC32" s="159">
        <f t="shared" si="14"/>
        <v>22264</v>
      </c>
    </row>
    <row r="33" spans="1:55" s="3" customFormat="1" ht="15" customHeight="1" x14ac:dyDescent="0.2">
      <c r="A33" s="353"/>
      <c r="B33" s="92">
        <v>3</v>
      </c>
      <c r="C33" s="47" t="s">
        <v>210</v>
      </c>
      <c r="D33" s="48" t="s">
        <v>28</v>
      </c>
      <c r="E33" s="49" t="s">
        <v>7</v>
      </c>
      <c r="F33" s="49" t="s">
        <v>166</v>
      </c>
      <c r="G33" s="49" t="s">
        <v>29</v>
      </c>
      <c r="H33" s="50">
        <v>2009</v>
      </c>
      <c r="I33" s="50" t="s">
        <v>30</v>
      </c>
      <c r="J33" s="51">
        <v>15</v>
      </c>
      <c r="K33" s="52">
        <f>J33+H33</f>
        <v>2024</v>
      </c>
      <c r="L33" s="53">
        <f>K33</f>
        <v>2024</v>
      </c>
      <c r="M33" s="54">
        <v>7822</v>
      </c>
      <c r="N33" s="55">
        <v>41019</v>
      </c>
      <c r="O33" s="126" t="s">
        <v>31</v>
      </c>
      <c r="P33" s="67">
        <f t="shared" si="2"/>
        <v>0</v>
      </c>
      <c r="Q33" s="56"/>
      <c r="R33" s="56">
        <f t="shared" si="12"/>
        <v>0</v>
      </c>
      <c r="S33" s="56">
        <f t="shared" si="12"/>
        <v>0</v>
      </c>
      <c r="T33" s="56">
        <f t="shared" si="12"/>
        <v>0</v>
      </c>
      <c r="U33" s="56">
        <f t="shared" si="12"/>
        <v>0</v>
      </c>
      <c r="V33" s="56">
        <f t="shared" si="12"/>
        <v>0</v>
      </c>
      <c r="W33" s="56">
        <f t="shared" si="12"/>
        <v>0</v>
      </c>
      <c r="X33" s="56">
        <f t="shared" si="12"/>
        <v>0</v>
      </c>
      <c r="Y33" s="56">
        <f t="shared" si="12"/>
        <v>0</v>
      </c>
      <c r="Z33" s="56">
        <f t="shared" si="12"/>
        <v>0</v>
      </c>
      <c r="AA33" s="56">
        <f t="shared" si="12"/>
        <v>0</v>
      </c>
      <c r="AB33" s="56">
        <f t="shared" si="12"/>
        <v>0</v>
      </c>
      <c r="AC33" s="56">
        <f t="shared" si="12"/>
        <v>0</v>
      </c>
      <c r="AD33" s="56">
        <f t="shared" si="12"/>
        <v>0</v>
      </c>
      <c r="AE33" s="56">
        <f t="shared" si="12"/>
        <v>0</v>
      </c>
      <c r="AF33" s="56">
        <f t="shared" si="12"/>
        <v>41019</v>
      </c>
      <c r="AG33" s="56">
        <f t="shared" si="12"/>
        <v>0</v>
      </c>
      <c r="AH33" s="56">
        <f t="shared" si="12"/>
        <v>0</v>
      </c>
      <c r="AI33" s="56">
        <f t="shared" si="12"/>
        <v>0</v>
      </c>
      <c r="AJ33" s="56">
        <f t="shared" si="12"/>
        <v>0</v>
      </c>
      <c r="AK33" s="56">
        <f t="shared" si="12"/>
        <v>0</v>
      </c>
      <c r="AL33" s="56">
        <f t="shared" si="12"/>
        <v>0</v>
      </c>
      <c r="AM33" s="56">
        <f t="shared" si="12"/>
        <v>0</v>
      </c>
      <c r="AN33" s="56">
        <f t="shared" si="12"/>
        <v>0</v>
      </c>
      <c r="AO33" s="56">
        <f t="shared" si="12"/>
        <v>0</v>
      </c>
      <c r="AP33" s="56">
        <f t="shared" si="12"/>
        <v>0</v>
      </c>
      <c r="AQ33" s="56">
        <f t="shared" si="12"/>
        <v>0</v>
      </c>
      <c r="AR33" s="56">
        <f t="shared" si="12"/>
        <v>0</v>
      </c>
      <c r="AS33" s="56">
        <f t="shared" si="12"/>
        <v>0</v>
      </c>
      <c r="AT33" s="56">
        <f t="shared" si="12"/>
        <v>0</v>
      </c>
      <c r="AU33" s="56">
        <f t="shared" si="12"/>
        <v>41019</v>
      </c>
      <c r="AV33" s="56">
        <f t="shared" si="12"/>
        <v>0</v>
      </c>
      <c r="AW33" s="56">
        <f t="shared" si="12"/>
        <v>0</v>
      </c>
      <c r="AX33" s="56">
        <f t="shared" si="12"/>
        <v>0</v>
      </c>
      <c r="AY33" s="56">
        <f t="shared" si="12"/>
        <v>0</v>
      </c>
      <c r="AZ33" s="56">
        <f t="shared" si="12"/>
        <v>0</v>
      </c>
      <c r="BA33" s="56">
        <f t="shared" si="12"/>
        <v>0</v>
      </c>
      <c r="BB33" s="56">
        <f t="shared" si="12"/>
        <v>0</v>
      </c>
      <c r="BC33" s="57">
        <f t="shared" si="12"/>
        <v>0</v>
      </c>
    </row>
    <row r="34" spans="1:55" s="3" customFormat="1" ht="15" customHeight="1" x14ac:dyDescent="0.2">
      <c r="A34" s="353"/>
      <c r="B34" s="142"/>
      <c r="C34" s="70"/>
      <c r="D34" s="71" t="s">
        <v>34</v>
      </c>
      <c r="E34" s="58" t="s">
        <v>7</v>
      </c>
      <c r="F34" s="58" t="s">
        <v>166</v>
      </c>
      <c r="G34" s="59" t="s">
        <v>29</v>
      </c>
      <c r="H34" s="60">
        <v>2005</v>
      </c>
      <c r="I34" s="61" t="s">
        <v>33</v>
      </c>
      <c r="J34" s="62">
        <v>15</v>
      </c>
      <c r="K34" s="63">
        <f t="shared" ref="K34:K44" si="15">J34+H34</f>
        <v>2020</v>
      </c>
      <c r="L34" s="64">
        <v>2025</v>
      </c>
      <c r="M34" s="65">
        <v>2</v>
      </c>
      <c r="N34" s="66">
        <v>4719</v>
      </c>
      <c r="O34" s="91" t="s">
        <v>32</v>
      </c>
      <c r="P34" s="67">
        <f t="shared" si="2"/>
        <v>0</v>
      </c>
      <c r="Q34" s="68">
        <f t="shared" si="12"/>
        <v>0</v>
      </c>
      <c r="R34" s="68">
        <f t="shared" si="12"/>
        <v>4719</v>
      </c>
      <c r="S34" s="68">
        <f t="shared" si="12"/>
        <v>0</v>
      </c>
      <c r="T34" s="68">
        <f t="shared" si="12"/>
        <v>0</v>
      </c>
      <c r="U34" s="68">
        <f t="shared" si="12"/>
        <v>0</v>
      </c>
      <c r="V34" s="68">
        <f t="shared" si="12"/>
        <v>0</v>
      </c>
      <c r="W34" s="68">
        <f t="shared" si="12"/>
        <v>0</v>
      </c>
      <c r="X34" s="68">
        <f t="shared" si="12"/>
        <v>0</v>
      </c>
      <c r="Y34" s="68">
        <f t="shared" si="12"/>
        <v>0</v>
      </c>
      <c r="Z34" s="68">
        <f t="shared" si="12"/>
        <v>0</v>
      </c>
      <c r="AA34" s="68">
        <f t="shared" si="12"/>
        <v>0</v>
      </c>
      <c r="AB34" s="68">
        <f t="shared" si="12"/>
        <v>0</v>
      </c>
      <c r="AC34" s="68">
        <f t="shared" si="12"/>
        <v>0</v>
      </c>
      <c r="AD34" s="68">
        <f t="shared" si="12"/>
        <v>0</v>
      </c>
      <c r="AE34" s="68">
        <f t="shared" si="12"/>
        <v>0</v>
      </c>
      <c r="AF34" s="68">
        <f t="shared" si="12"/>
        <v>0</v>
      </c>
      <c r="AG34" s="68">
        <f t="shared" si="12"/>
        <v>4719</v>
      </c>
      <c r="AH34" s="68">
        <f t="shared" si="12"/>
        <v>0</v>
      </c>
      <c r="AI34" s="68">
        <f t="shared" si="12"/>
        <v>0</v>
      </c>
      <c r="AJ34" s="68">
        <f t="shared" si="12"/>
        <v>0</v>
      </c>
      <c r="AK34" s="68">
        <f t="shared" si="12"/>
        <v>0</v>
      </c>
      <c r="AL34" s="68">
        <f t="shared" si="12"/>
        <v>0</v>
      </c>
      <c r="AM34" s="68">
        <f t="shared" si="12"/>
        <v>0</v>
      </c>
      <c r="AN34" s="68">
        <f t="shared" si="12"/>
        <v>0</v>
      </c>
      <c r="AO34" s="68">
        <f t="shared" si="12"/>
        <v>0</v>
      </c>
      <c r="AP34" s="68">
        <f t="shared" si="12"/>
        <v>0</v>
      </c>
      <c r="AQ34" s="68">
        <f t="shared" si="12"/>
        <v>0</v>
      </c>
      <c r="AR34" s="68">
        <f t="shared" si="12"/>
        <v>0</v>
      </c>
      <c r="AS34" s="68">
        <f t="shared" si="12"/>
        <v>0</v>
      </c>
      <c r="AT34" s="68">
        <f t="shared" si="12"/>
        <v>0</v>
      </c>
      <c r="AU34" s="68">
        <f t="shared" si="12"/>
        <v>0</v>
      </c>
      <c r="AV34" s="68">
        <f t="shared" si="12"/>
        <v>4719</v>
      </c>
      <c r="AW34" s="68">
        <f t="shared" si="12"/>
        <v>0</v>
      </c>
      <c r="AX34" s="68">
        <f t="shared" si="12"/>
        <v>0</v>
      </c>
      <c r="AY34" s="68">
        <f t="shared" si="12"/>
        <v>0</v>
      </c>
      <c r="AZ34" s="68">
        <f t="shared" si="12"/>
        <v>0</v>
      </c>
      <c r="BA34" s="68">
        <f t="shared" si="12"/>
        <v>0</v>
      </c>
      <c r="BB34" s="68">
        <f t="shared" si="12"/>
        <v>0</v>
      </c>
      <c r="BC34" s="69">
        <f t="shared" si="12"/>
        <v>0</v>
      </c>
    </row>
    <row r="35" spans="1:55" s="3" customFormat="1" ht="15" customHeight="1" x14ac:dyDescent="0.2">
      <c r="A35" s="353"/>
      <c r="B35" s="142"/>
      <c r="C35" s="70"/>
      <c r="D35" s="72" t="s">
        <v>35</v>
      </c>
      <c r="E35" s="58"/>
      <c r="F35" s="58" t="s">
        <v>166</v>
      </c>
      <c r="G35" s="59" t="s">
        <v>6</v>
      </c>
      <c r="H35" s="60"/>
      <c r="I35" s="61" t="s">
        <v>33</v>
      </c>
      <c r="J35" s="62">
        <v>3</v>
      </c>
      <c r="K35" s="63">
        <f t="shared" si="15"/>
        <v>3</v>
      </c>
      <c r="L35" s="64">
        <v>2025</v>
      </c>
      <c r="M35" s="65">
        <v>2</v>
      </c>
      <c r="N35" s="66">
        <v>484</v>
      </c>
      <c r="O35" s="91" t="s">
        <v>32</v>
      </c>
      <c r="P35" s="67">
        <f t="shared" si="2"/>
        <v>0</v>
      </c>
      <c r="Q35" s="68">
        <f t="shared" ref="Q35:BC42" si="16">IF($F35="Ja",IF(MOD($L35-Q$10,$J35)=0,$N35,0),0)</f>
        <v>0</v>
      </c>
      <c r="R35" s="68">
        <f t="shared" si="16"/>
        <v>484</v>
      </c>
      <c r="S35" s="68">
        <f t="shared" si="16"/>
        <v>0</v>
      </c>
      <c r="T35" s="68">
        <f t="shared" si="16"/>
        <v>0</v>
      </c>
      <c r="U35" s="68">
        <f t="shared" si="16"/>
        <v>484</v>
      </c>
      <c r="V35" s="68">
        <f t="shared" si="16"/>
        <v>0</v>
      </c>
      <c r="W35" s="68">
        <f t="shared" si="16"/>
        <v>0</v>
      </c>
      <c r="X35" s="68">
        <f t="shared" si="16"/>
        <v>484</v>
      </c>
      <c r="Y35" s="68">
        <f t="shared" si="16"/>
        <v>0</v>
      </c>
      <c r="Z35" s="68">
        <f t="shared" si="16"/>
        <v>0</v>
      </c>
      <c r="AA35" s="68">
        <f t="shared" si="16"/>
        <v>484</v>
      </c>
      <c r="AB35" s="68">
        <f t="shared" si="16"/>
        <v>0</v>
      </c>
      <c r="AC35" s="68">
        <f t="shared" si="16"/>
        <v>0</v>
      </c>
      <c r="AD35" s="68">
        <f t="shared" si="16"/>
        <v>484</v>
      </c>
      <c r="AE35" s="68">
        <f t="shared" si="16"/>
        <v>0</v>
      </c>
      <c r="AF35" s="68">
        <f t="shared" si="16"/>
        <v>0</v>
      </c>
      <c r="AG35" s="68">
        <f t="shared" si="16"/>
        <v>484</v>
      </c>
      <c r="AH35" s="68">
        <f t="shared" si="16"/>
        <v>0</v>
      </c>
      <c r="AI35" s="68">
        <f t="shared" si="16"/>
        <v>0</v>
      </c>
      <c r="AJ35" s="68">
        <f t="shared" si="16"/>
        <v>484</v>
      </c>
      <c r="AK35" s="68">
        <f t="shared" si="16"/>
        <v>0</v>
      </c>
      <c r="AL35" s="68">
        <f t="shared" si="16"/>
        <v>0</v>
      </c>
      <c r="AM35" s="68">
        <f t="shared" si="16"/>
        <v>484</v>
      </c>
      <c r="AN35" s="68">
        <f t="shared" si="16"/>
        <v>0</v>
      </c>
      <c r="AO35" s="68">
        <f t="shared" si="16"/>
        <v>0</v>
      </c>
      <c r="AP35" s="68">
        <f t="shared" si="16"/>
        <v>484</v>
      </c>
      <c r="AQ35" s="68">
        <f t="shared" si="16"/>
        <v>0</v>
      </c>
      <c r="AR35" s="68">
        <f t="shared" si="16"/>
        <v>0</v>
      </c>
      <c r="AS35" s="68">
        <f t="shared" si="16"/>
        <v>484</v>
      </c>
      <c r="AT35" s="68">
        <f t="shared" si="16"/>
        <v>0</v>
      </c>
      <c r="AU35" s="68">
        <f t="shared" si="16"/>
        <v>0</v>
      </c>
      <c r="AV35" s="68">
        <f t="shared" si="16"/>
        <v>484</v>
      </c>
      <c r="AW35" s="68">
        <f t="shared" si="16"/>
        <v>0</v>
      </c>
      <c r="AX35" s="68">
        <f t="shared" si="16"/>
        <v>0</v>
      </c>
      <c r="AY35" s="68">
        <f t="shared" si="16"/>
        <v>484</v>
      </c>
      <c r="AZ35" s="68">
        <f t="shared" si="16"/>
        <v>0</v>
      </c>
      <c r="BA35" s="68">
        <f t="shared" si="16"/>
        <v>0</v>
      </c>
      <c r="BB35" s="68">
        <f t="shared" si="16"/>
        <v>484</v>
      </c>
      <c r="BC35" s="69">
        <f t="shared" si="16"/>
        <v>0</v>
      </c>
    </row>
    <row r="36" spans="1:55" s="3" customFormat="1" ht="15" customHeight="1" x14ac:dyDescent="0.2">
      <c r="A36" s="353"/>
      <c r="B36" s="142"/>
      <c r="C36" s="70"/>
      <c r="D36" s="72" t="s">
        <v>209</v>
      </c>
      <c r="E36" s="58"/>
      <c r="F36" s="58" t="s">
        <v>166</v>
      </c>
      <c r="G36" s="59" t="s">
        <v>2</v>
      </c>
      <c r="H36" s="60"/>
      <c r="I36" s="61" t="s">
        <v>33</v>
      </c>
      <c r="J36" s="62">
        <v>5</v>
      </c>
      <c r="K36" s="63">
        <f t="shared" si="15"/>
        <v>5</v>
      </c>
      <c r="L36" s="64">
        <v>2025</v>
      </c>
      <c r="M36" s="65">
        <v>4</v>
      </c>
      <c r="N36" s="66">
        <v>605</v>
      </c>
      <c r="O36" s="91" t="s">
        <v>32</v>
      </c>
      <c r="P36" s="67">
        <f t="shared" si="2"/>
        <v>0</v>
      </c>
      <c r="Q36" s="68">
        <f t="shared" si="2"/>
        <v>0</v>
      </c>
      <c r="R36" s="68">
        <f t="shared" si="2"/>
        <v>605</v>
      </c>
      <c r="S36" s="68">
        <f t="shared" si="2"/>
        <v>0</v>
      </c>
      <c r="T36" s="68">
        <f t="shared" si="2"/>
        <v>0</v>
      </c>
      <c r="U36" s="68">
        <f t="shared" si="2"/>
        <v>0</v>
      </c>
      <c r="V36" s="68">
        <f t="shared" si="2"/>
        <v>0</v>
      </c>
      <c r="W36" s="68">
        <f t="shared" si="2"/>
        <v>605</v>
      </c>
      <c r="X36" s="68">
        <f t="shared" si="2"/>
        <v>0</v>
      </c>
      <c r="Y36" s="68">
        <f t="shared" si="2"/>
        <v>0</v>
      </c>
      <c r="Z36" s="68">
        <f t="shared" si="2"/>
        <v>0</v>
      </c>
      <c r="AA36" s="68">
        <f t="shared" si="2"/>
        <v>0</v>
      </c>
      <c r="AB36" s="68">
        <f t="shared" si="2"/>
        <v>605</v>
      </c>
      <c r="AC36" s="68">
        <f t="shared" si="2"/>
        <v>0</v>
      </c>
      <c r="AD36" s="68">
        <f t="shared" si="2"/>
        <v>0</v>
      </c>
      <c r="AE36" s="68">
        <f t="shared" si="2"/>
        <v>0</v>
      </c>
      <c r="AF36" s="68">
        <f t="shared" ref="AF36:BC36" si="17">IF($F36="Ja",IF(MOD($L36-AF$10,$J36)=0,$N36,0),0)</f>
        <v>0</v>
      </c>
      <c r="AG36" s="68">
        <f t="shared" si="17"/>
        <v>605</v>
      </c>
      <c r="AH36" s="68">
        <f t="shared" si="17"/>
        <v>0</v>
      </c>
      <c r="AI36" s="68">
        <f t="shared" si="17"/>
        <v>0</v>
      </c>
      <c r="AJ36" s="68">
        <f t="shared" si="17"/>
        <v>0</v>
      </c>
      <c r="AK36" s="68">
        <f t="shared" si="17"/>
        <v>0</v>
      </c>
      <c r="AL36" s="68">
        <f t="shared" si="17"/>
        <v>605</v>
      </c>
      <c r="AM36" s="68">
        <f t="shared" si="17"/>
        <v>0</v>
      </c>
      <c r="AN36" s="68">
        <f t="shared" si="17"/>
        <v>0</v>
      </c>
      <c r="AO36" s="68">
        <f t="shared" si="17"/>
        <v>0</v>
      </c>
      <c r="AP36" s="68">
        <f t="shared" si="17"/>
        <v>0</v>
      </c>
      <c r="AQ36" s="68">
        <f t="shared" si="17"/>
        <v>605</v>
      </c>
      <c r="AR36" s="68">
        <f t="shared" si="17"/>
        <v>0</v>
      </c>
      <c r="AS36" s="68">
        <f t="shared" si="17"/>
        <v>0</v>
      </c>
      <c r="AT36" s="68">
        <f t="shared" si="17"/>
        <v>0</v>
      </c>
      <c r="AU36" s="68">
        <f t="shared" si="17"/>
        <v>0</v>
      </c>
      <c r="AV36" s="68">
        <f t="shared" si="17"/>
        <v>605</v>
      </c>
      <c r="AW36" s="68">
        <f t="shared" si="17"/>
        <v>0</v>
      </c>
      <c r="AX36" s="68">
        <f t="shared" si="17"/>
        <v>0</v>
      </c>
      <c r="AY36" s="68">
        <f t="shared" si="17"/>
        <v>0</v>
      </c>
      <c r="AZ36" s="68">
        <f t="shared" si="17"/>
        <v>0</v>
      </c>
      <c r="BA36" s="68">
        <f t="shared" si="17"/>
        <v>605</v>
      </c>
      <c r="BB36" s="68">
        <f t="shared" si="17"/>
        <v>0</v>
      </c>
      <c r="BC36" s="69">
        <f t="shared" si="17"/>
        <v>0</v>
      </c>
    </row>
    <row r="37" spans="1:55" s="3" customFormat="1" ht="15" customHeight="1" x14ac:dyDescent="0.2">
      <c r="A37" s="353"/>
      <c r="B37" s="142"/>
      <c r="C37" s="70"/>
      <c r="D37" s="72" t="s">
        <v>44</v>
      </c>
      <c r="E37" s="58" t="s">
        <v>7</v>
      </c>
      <c r="F37" s="58" t="s">
        <v>211</v>
      </c>
      <c r="G37" s="59" t="s">
        <v>6</v>
      </c>
      <c r="H37" s="60"/>
      <c r="I37" s="61" t="s">
        <v>33</v>
      </c>
      <c r="J37" s="62">
        <v>20</v>
      </c>
      <c r="K37" s="63">
        <f t="shared" si="15"/>
        <v>20</v>
      </c>
      <c r="L37" s="64">
        <v>2030</v>
      </c>
      <c r="M37" s="64">
        <v>2</v>
      </c>
      <c r="N37" s="66">
        <v>12826</v>
      </c>
      <c r="O37" s="91" t="s">
        <v>32</v>
      </c>
      <c r="P37" s="67">
        <f t="shared" si="2"/>
        <v>0</v>
      </c>
      <c r="Q37" s="68">
        <f t="shared" si="16"/>
        <v>0</v>
      </c>
      <c r="R37" s="68">
        <f t="shared" si="16"/>
        <v>0</v>
      </c>
      <c r="S37" s="68">
        <f t="shared" si="16"/>
        <v>0</v>
      </c>
      <c r="T37" s="68">
        <f t="shared" si="16"/>
        <v>0</v>
      </c>
      <c r="U37" s="68">
        <f t="shared" si="16"/>
        <v>0</v>
      </c>
      <c r="V37" s="68">
        <f t="shared" si="16"/>
        <v>0</v>
      </c>
      <c r="W37" s="68">
        <f t="shared" si="16"/>
        <v>0</v>
      </c>
      <c r="X37" s="68">
        <f t="shared" si="16"/>
        <v>0</v>
      </c>
      <c r="Y37" s="68">
        <f t="shared" si="16"/>
        <v>0</v>
      </c>
      <c r="Z37" s="68">
        <f t="shared" si="16"/>
        <v>0</v>
      </c>
      <c r="AA37" s="68">
        <f t="shared" si="16"/>
        <v>0</v>
      </c>
      <c r="AB37" s="68">
        <f t="shared" si="16"/>
        <v>0</v>
      </c>
      <c r="AC37" s="68">
        <f t="shared" si="16"/>
        <v>0</v>
      </c>
      <c r="AD37" s="68">
        <f t="shared" si="16"/>
        <v>0</v>
      </c>
      <c r="AE37" s="68">
        <f t="shared" si="16"/>
        <v>0</v>
      </c>
      <c r="AF37" s="68">
        <f t="shared" si="16"/>
        <v>0</v>
      </c>
      <c r="AG37" s="68">
        <f t="shared" si="16"/>
        <v>0</v>
      </c>
      <c r="AH37" s="68">
        <f t="shared" si="16"/>
        <v>0</v>
      </c>
      <c r="AI37" s="68">
        <f t="shared" si="16"/>
        <v>0</v>
      </c>
      <c r="AJ37" s="68">
        <f t="shared" si="16"/>
        <v>0</v>
      </c>
      <c r="AK37" s="68">
        <f t="shared" si="16"/>
        <v>0</v>
      </c>
      <c r="AL37" s="68">
        <f t="shared" si="16"/>
        <v>0</v>
      </c>
      <c r="AM37" s="68">
        <f t="shared" si="16"/>
        <v>0</v>
      </c>
      <c r="AN37" s="68">
        <f t="shared" si="16"/>
        <v>0</v>
      </c>
      <c r="AO37" s="68">
        <f t="shared" si="16"/>
        <v>0</v>
      </c>
      <c r="AP37" s="68">
        <f t="shared" si="16"/>
        <v>0</v>
      </c>
      <c r="AQ37" s="68">
        <f t="shared" si="16"/>
        <v>0</v>
      </c>
      <c r="AR37" s="68">
        <f t="shared" si="16"/>
        <v>0</v>
      </c>
      <c r="AS37" s="68">
        <f t="shared" si="16"/>
        <v>0</v>
      </c>
      <c r="AT37" s="68">
        <f t="shared" si="16"/>
        <v>0</v>
      </c>
      <c r="AU37" s="68">
        <f t="shared" si="16"/>
        <v>0</v>
      </c>
      <c r="AV37" s="68">
        <f t="shared" si="16"/>
        <v>0</v>
      </c>
      <c r="AW37" s="68">
        <f t="shared" si="16"/>
        <v>0</v>
      </c>
      <c r="AX37" s="68">
        <f t="shared" si="16"/>
        <v>0</v>
      </c>
      <c r="AY37" s="68">
        <f t="shared" si="16"/>
        <v>0</v>
      </c>
      <c r="AZ37" s="68">
        <f t="shared" si="16"/>
        <v>0</v>
      </c>
      <c r="BA37" s="68">
        <f t="shared" si="16"/>
        <v>0</v>
      </c>
      <c r="BB37" s="68">
        <f t="shared" si="16"/>
        <v>0</v>
      </c>
      <c r="BC37" s="69">
        <f t="shared" si="16"/>
        <v>0</v>
      </c>
    </row>
    <row r="38" spans="1:55" s="3" customFormat="1" ht="15" customHeight="1" x14ac:dyDescent="0.2">
      <c r="A38" s="353"/>
      <c r="B38" s="142"/>
      <c r="C38" s="70"/>
      <c r="D38" s="72" t="s">
        <v>45</v>
      </c>
      <c r="E38" s="58"/>
      <c r="F38" s="58" t="s">
        <v>211</v>
      </c>
      <c r="G38" s="59" t="s">
        <v>6</v>
      </c>
      <c r="H38" s="60"/>
      <c r="I38" s="61" t="s">
        <v>33</v>
      </c>
      <c r="J38" s="62">
        <v>20</v>
      </c>
      <c r="K38" s="63">
        <f t="shared" si="15"/>
        <v>20</v>
      </c>
      <c r="L38" s="64">
        <v>2024</v>
      </c>
      <c r="M38" s="64"/>
      <c r="N38" s="66">
        <v>15125</v>
      </c>
      <c r="O38" s="91" t="s">
        <v>38</v>
      </c>
      <c r="P38" s="67">
        <f t="shared" si="2"/>
        <v>0</v>
      </c>
      <c r="Q38" s="68">
        <f t="shared" si="16"/>
        <v>0</v>
      </c>
      <c r="R38" s="68">
        <f t="shared" si="16"/>
        <v>0</v>
      </c>
      <c r="S38" s="68">
        <f t="shared" si="16"/>
        <v>0</v>
      </c>
      <c r="T38" s="68">
        <f t="shared" si="16"/>
        <v>0</v>
      </c>
      <c r="U38" s="68">
        <f t="shared" si="16"/>
        <v>0</v>
      </c>
      <c r="V38" s="68">
        <f t="shared" si="16"/>
        <v>0</v>
      </c>
      <c r="W38" s="68">
        <f t="shared" si="16"/>
        <v>0</v>
      </c>
      <c r="X38" s="68">
        <f t="shared" si="16"/>
        <v>0</v>
      </c>
      <c r="Y38" s="68">
        <f t="shared" si="16"/>
        <v>0</v>
      </c>
      <c r="Z38" s="68">
        <f t="shared" si="16"/>
        <v>0</v>
      </c>
      <c r="AA38" s="68">
        <f t="shared" si="16"/>
        <v>0</v>
      </c>
      <c r="AB38" s="68">
        <f t="shared" si="16"/>
        <v>0</v>
      </c>
      <c r="AC38" s="68">
        <f t="shared" si="16"/>
        <v>0</v>
      </c>
      <c r="AD38" s="68">
        <f t="shared" si="16"/>
        <v>0</v>
      </c>
      <c r="AE38" s="68">
        <f t="shared" si="16"/>
        <v>0</v>
      </c>
      <c r="AF38" s="68">
        <f t="shared" si="16"/>
        <v>0</v>
      </c>
      <c r="AG38" s="68">
        <f t="shared" si="16"/>
        <v>0</v>
      </c>
      <c r="AH38" s="68">
        <f t="shared" si="16"/>
        <v>0</v>
      </c>
      <c r="AI38" s="68">
        <f t="shared" si="16"/>
        <v>0</v>
      </c>
      <c r="AJ38" s="68">
        <f t="shared" si="16"/>
        <v>0</v>
      </c>
      <c r="AK38" s="68">
        <f t="shared" si="16"/>
        <v>0</v>
      </c>
      <c r="AL38" s="68">
        <f t="shared" si="16"/>
        <v>0</v>
      </c>
      <c r="AM38" s="68">
        <f t="shared" si="16"/>
        <v>0</v>
      </c>
      <c r="AN38" s="68">
        <f t="shared" si="16"/>
        <v>0</v>
      </c>
      <c r="AO38" s="68">
        <f t="shared" si="16"/>
        <v>0</v>
      </c>
      <c r="AP38" s="68">
        <f t="shared" si="16"/>
        <v>0</v>
      </c>
      <c r="AQ38" s="68">
        <f t="shared" si="16"/>
        <v>0</v>
      </c>
      <c r="AR38" s="68">
        <f t="shared" si="16"/>
        <v>0</v>
      </c>
      <c r="AS38" s="68">
        <f t="shared" si="16"/>
        <v>0</v>
      </c>
      <c r="AT38" s="68">
        <f t="shared" si="16"/>
        <v>0</v>
      </c>
      <c r="AU38" s="68">
        <f t="shared" si="16"/>
        <v>0</v>
      </c>
      <c r="AV38" s="68">
        <f t="shared" si="16"/>
        <v>0</v>
      </c>
      <c r="AW38" s="68">
        <f t="shared" si="16"/>
        <v>0</v>
      </c>
      <c r="AX38" s="68">
        <f t="shared" si="16"/>
        <v>0</v>
      </c>
      <c r="AY38" s="68">
        <f t="shared" si="16"/>
        <v>0</v>
      </c>
      <c r="AZ38" s="68">
        <f t="shared" si="16"/>
        <v>0</v>
      </c>
      <c r="BA38" s="68">
        <f t="shared" si="16"/>
        <v>0</v>
      </c>
      <c r="BB38" s="68">
        <f t="shared" si="16"/>
        <v>0</v>
      </c>
      <c r="BC38" s="69">
        <f t="shared" si="16"/>
        <v>0</v>
      </c>
    </row>
    <row r="39" spans="1:55" s="3" customFormat="1" ht="15" customHeight="1" x14ac:dyDescent="0.2">
      <c r="A39" s="353"/>
      <c r="B39" s="142"/>
      <c r="C39" s="70"/>
      <c r="D39" s="72" t="s">
        <v>58</v>
      </c>
      <c r="E39" s="58" t="s">
        <v>7</v>
      </c>
      <c r="F39" s="58" t="s">
        <v>211</v>
      </c>
      <c r="G39" s="59" t="s">
        <v>6</v>
      </c>
      <c r="H39" s="60"/>
      <c r="I39" s="61" t="s">
        <v>33</v>
      </c>
      <c r="J39" s="62">
        <v>20</v>
      </c>
      <c r="K39" s="63">
        <f t="shared" si="15"/>
        <v>20</v>
      </c>
      <c r="L39" s="64">
        <v>2024</v>
      </c>
      <c r="M39" s="64">
        <v>50</v>
      </c>
      <c r="N39" s="66">
        <v>0</v>
      </c>
      <c r="O39" s="91" t="s">
        <v>38</v>
      </c>
      <c r="P39" s="67">
        <f t="shared" si="2"/>
        <v>0</v>
      </c>
      <c r="Q39" s="68">
        <f t="shared" si="16"/>
        <v>0</v>
      </c>
      <c r="R39" s="68">
        <f t="shared" si="16"/>
        <v>0</v>
      </c>
      <c r="S39" s="68">
        <f t="shared" si="16"/>
        <v>0</v>
      </c>
      <c r="T39" s="68">
        <f t="shared" si="16"/>
        <v>0</v>
      </c>
      <c r="U39" s="68">
        <f t="shared" si="16"/>
        <v>0</v>
      </c>
      <c r="V39" s="68">
        <f t="shared" si="16"/>
        <v>0</v>
      </c>
      <c r="W39" s="68">
        <f t="shared" si="16"/>
        <v>0</v>
      </c>
      <c r="X39" s="68">
        <f t="shared" si="16"/>
        <v>0</v>
      </c>
      <c r="Y39" s="68">
        <f t="shared" si="16"/>
        <v>0</v>
      </c>
      <c r="Z39" s="68">
        <f t="shared" si="16"/>
        <v>0</v>
      </c>
      <c r="AA39" s="68">
        <f t="shared" si="16"/>
        <v>0</v>
      </c>
      <c r="AB39" s="68">
        <f t="shared" si="16"/>
        <v>0</v>
      </c>
      <c r="AC39" s="68">
        <f t="shared" si="16"/>
        <v>0</v>
      </c>
      <c r="AD39" s="68">
        <f t="shared" si="16"/>
        <v>0</v>
      </c>
      <c r="AE39" s="68">
        <f t="shared" si="16"/>
        <v>0</v>
      </c>
      <c r="AF39" s="68">
        <f t="shared" si="16"/>
        <v>0</v>
      </c>
      <c r="AG39" s="68">
        <f t="shared" si="16"/>
        <v>0</v>
      </c>
      <c r="AH39" s="68">
        <f t="shared" si="16"/>
        <v>0</v>
      </c>
      <c r="AI39" s="68">
        <f t="shared" si="16"/>
        <v>0</v>
      </c>
      <c r="AJ39" s="68">
        <f t="shared" si="16"/>
        <v>0</v>
      </c>
      <c r="AK39" s="68">
        <f t="shared" si="16"/>
        <v>0</v>
      </c>
      <c r="AL39" s="68">
        <f t="shared" si="16"/>
        <v>0</v>
      </c>
      <c r="AM39" s="68">
        <f t="shared" si="16"/>
        <v>0</v>
      </c>
      <c r="AN39" s="68">
        <f t="shared" si="16"/>
        <v>0</v>
      </c>
      <c r="AO39" s="68">
        <f t="shared" si="16"/>
        <v>0</v>
      </c>
      <c r="AP39" s="68">
        <f t="shared" si="16"/>
        <v>0</v>
      </c>
      <c r="AQ39" s="68">
        <f t="shared" si="16"/>
        <v>0</v>
      </c>
      <c r="AR39" s="68">
        <f t="shared" si="16"/>
        <v>0</v>
      </c>
      <c r="AS39" s="68">
        <f t="shared" si="16"/>
        <v>0</v>
      </c>
      <c r="AT39" s="68">
        <f t="shared" si="16"/>
        <v>0</v>
      </c>
      <c r="AU39" s="68">
        <f t="shared" si="16"/>
        <v>0</v>
      </c>
      <c r="AV39" s="68">
        <f t="shared" si="16"/>
        <v>0</v>
      </c>
      <c r="AW39" s="68">
        <f t="shared" si="16"/>
        <v>0</v>
      </c>
      <c r="AX39" s="68">
        <f t="shared" si="16"/>
        <v>0</v>
      </c>
      <c r="AY39" s="68">
        <f t="shared" si="16"/>
        <v>0</v>
      </c>
      <c r="AZ39" s="68">
        <f t="shared" si="16"/>
        <v>0</v>
      </c>
      <c r="BA39" s="68">
        <f t="shared" si="16"/>
        <v>0</v>
      </c>
      <c r="BB39" s="68">
        <f t="shared" si="16"/>
        <v>0</v>
      </c>
      <c r="BC39" s="69">
        <f t="shared" si="16"/>
        <v>0</v>
      </c>
    </row>
    <row r="40" spans="1:55" s="3" customFormat="1" ht="15" customHeight="1" x14ac:dyDescent="0.2">
      <c r="A40" s="353"/>
      <c r="B40" s="142"/>
      <c r="C40" s="70"/>
      <c r="D40" s="72" t="s">
        <v>57</v>
      </c>
      <c r="E40" s="58" t="s">
        <v>7</v>
      </c>
      <c r="F40" s="58" t="s">
        <v>166</v>
      </c>
      <c r="G40" s="59" t="s">
        <v>29</v>
      </c>
      <c r="H40" s="60"/>
      <c r="I40" s="61" t="s">
        <v>33</v>
      </c>
      <c r="J40" s="62">
        <v>20</v>
      </c>
      <c r="K40" s="63">
        <f t="shared" si="15"/>
        <v>20</v>
      </c>
      <c r="L40" s="64">
        <v>2027</v>
      </c>
      <c r="M40" s="64">
        <v>100</v>
      </c>
      <c r="N40" s="66">
        <v>12342</v>
      </c>
      <c r="O40" s="91" t="s">
        <v>38</v>
      </c>
      <c r="P40" s="67">
        <f t="shared" si="2"/>
        <v>0</v>
      </c>
      <c r="Q40" s="68">
        <f t="shared" si="16"/>
        <v>0</v>
      </c>
      <c r="R40" s="68">
        <f t="shared" si="16"/>
        <v>0</v>
      </c>
      <c r="S40" s="68">
        <f t="shared" si="16"/>
        <v>0</v>
      </c>
      <c r="T40" s="68">
        <f t="shared" si="16"/>
        <v>12342</v>
      </c>
      <c r="U40" s="68">
        <f t="shared" si="16"/>
        <v>0</v>
      </c>
      <c r="V40" s="68">
        <f t="shared" si="16"/>
        <v>0</v>
      </c>
      <c r="W40" s="68">
        <f t="shared" si="16"/>
        <v>0</v>
      </c>
      <c r="X40" s="68">
        <f t="shared" si="16"/>
        <v>0</v>
      </c>
      <c r="Y40" s="68">
        <f t="shared" si="16"/>
        <v>0</v>
      </c>
      <c r="Z40" s="68">
        <f t="shared" si="16"/>
        <v>0</v>
      </c>
      <c r="AA40" s="68">
        <f t="shared" si="16"/>
        <v>0</v>
      </c>
      <c r="AB40" s="68">
        <f t="shared" si="16"/>
        <v>0</v>
      </c>
      <c r="AC40" s="68">
        <f t="shared" si="16"/>
        <v>0</v>
      </c>
      <c r="AD40" s="68">
        <f t="shared" si="16"/>
        <v>0</v>
      </c>
      <c r="AE40" s="68">
        <f t="shared" si="16"/>
        <v>0</v>
      </c>
      <c r="AF40" s="68">
        <f t="shared" si="16"/>
        <v>0</v>
      </c>
      <c r="AG40" s="68">
        <f t="shared" si="16"/>
        <v>0</v>
      </c>
      <c r="AH40" s="68">
        <f t="shared" si="16"/>
        <v>0</v>
      </c>
      <c r="AI40" s="68">
        <f t="shared" si="16"/>
        <v>0</v>
      </c>
      <c r="AJ40" s="68">
        <f t="shared" si="16"/>
        <v>0</v>
      </c>
      <c r="AK40" s="68">
        <f t="shared" si="16"/>
        <v>0</v>
      </c>
      <c r="AL40" s="68">
        <f t="shared" si="16"/>
        <v>0</v>
      </c>
      <c r="AM40" s="68">
        <f t="shared" si="16"/>
        <v>0</v>
      </c>
      <c r="AN40" s="68">
        <f t="shared" si="16"/>
        <v>12342</v>
      </c>
      <c r="AO40" s="68">
        <f t="shared" si="16"/>
        <v>0</v>
      </c>
      <c r="AP40" s="68">
        <f t="shared" si="16"/>
        <v>0</v>
      </c>
      <c r="AQ40" s="68">
        <f t="shared" si="16"/>
        <v>0</v>
      </c>
      <c r="AR40" s="68">
        <f t="shared" si="16"/>
        <v>0</v>
      </c>
      <c r="AS40" s="68">
        <f t="shared" si="16"/>
        <v>0</v>
      </c>
      <c r="AT40" s="68">
        <f t="shared" si="16"/>
        <v>0</v>
      </c>
      <c r="AU40" s="68">
        <f t="shared" si="16"/>
        <v>0</v>
      </c>
      <c r="AV40" s="68">
        <f t="shared" si="16"/>
        <v>0</v>
      </c>
      <c r="AW40" s="68">
        <f t="shared" si="16"/>
        <v>0</v>
      </c>
      <c r="AX40" s="68">
        <f t="shared" si="16"/>
        <v>0</v>
      </c>
      <c r="AY40" s="68">
        <f t="shared" si="16"/>
        <v>0</v>
      </c>
      <c r="AZ40" s="68">
        <f t="shared" si="16"/>
        <v>0</v>
      </c>
      <c r="BA40" s="68">
        <f t="shared" si="16"/>
        <v>0</v>
      </c>
      <c r="BB40" s="68">
        <f t="shared" si="16"/>
        <v>0</v>
      </c>
      <c r="BC40" s="69">
        <f t="shared" si="16"/>
        <v>0</v>
      </c>
    </row>
    <row r="41" spans="1:55" s="3" customFormat="1" ht="15" customHeight="1" x14ac:dyDescent="0.2">
      <c r="A41" s="353"/>
      <c r="B41" s="142"/>
      <c r="C41" s="70"/>
      <c r="D41" s="73" t="s">
        <v>40</v>
      </c>
      <c r="E41" s="74"/>
      <c r="F41" s="74" t="s">
        <v>166</v>
      </c>
      <c r="G41" s="59" t="s">
        <v>29</v>
      </c>
      <c r="H41" s="60"/>
      <c r="I41" s="61" t="s">
        <v>33</v>
      </c>
      <c r="J41" s="62">
        <v>5</v>
      </c>
      <c r="K41" s="63">
        <f t="shared" si="15"/>
        <v>5</v>
      </c>
      <c r="L41" s="64">
        <v>2027</v>
      </c>
      <c r="M41" s="64">
        <f>M40*5</f>
        <v>500</v>
      </c>
      <c r="N41" s="66">
        <v>2057</v>
      </c>
      <c r="O41" s="91" t="s">
        <v>31</v>
      </c>
      <c r="P41" s="67">
        <f t="shared" si="2"/>
        <v>0</v>
      </c>
      <c r="Q41" s="68">
        <f t="shared" si="16"/>
        <v>0</v>
      </c>
      <c r="R41" s="68">
        <f t="shared" si="16"/>
        <v>0</v>
      </c>
      <c r="S41" s="68">
        <f t="shared" si="16"/>
        <v>0</v>
      </c>
      <c r="T41" s="68">
        <f t="shared" si="16"/>
        <v>2057</v>
      </c>
      <c r="U41" s="68">
        <f t="shared" si="16"/>
        <v>0</v>
      </c>
      <c r="V41" s="68">
        <f t="shared" si="16"/>
        <v>0</v>
      </c>
      <c r="W41" s="68">
        <f t="shared" si="16"/>
        <v>0</v>
      </c>
      <c r="X41" s="68">
        <f t="shared" si="16"/>
        <v>0</v>
      </c>
      <c r="Y41" s="68">
        <f t="shared" si="16"/>
        <v>2057</v>
      </c>
      <c r="Z41" s="68">
        <f t="shared" si="16"/>
        <v>0</v>
      </c>
      <c r="AA41" s="68">
        <f t="shared" si="16"/>
        <v>0</v>
      </c>
      <c r="AB41" s="68">
        <f t="shared" si="16"/>
        <v>0</v>
      </c>
      <c r="AC41" s="68">
        <f t="shared" si="16"/>
        <v>0</v>
      </c>
      <c r="AD41" s="68">
        <f t="shared" si="16"/>
        <v>2057</v>
      </c>
      <c r="AE41" s="68">
        <f t="shared" si="16"/>
        <v>0</v>
      </c>
      <c r="AF41" s="68">
        <f t="shared" si="16"/>
        <v>0</v>
      </c>
      <c r="AG41" s="68">
        <f t="shared" si="16"/>
        <v>0</v>
      </c>
      <c r="AH41" s="68">
        <f t="shared" si="16"/>
        <v>0</v>
      </c>
      <c r="AI41" s="68">
        <f t="shared" si="16"/>
        <v>2057</v>
      </c>
      <c r="AJ41" s="68">
        <f t="shared" si="16"/>
        <v>0</v>
      </c>
      <c r="AK41" s="68">
        <f t="shared" si="16"/>
        <v>0</v>
      </c>
      <c r="AL41" s="68">
        <f t="shared" si="16"/>
        <v>0</v>
      </c>
      <c r="AM41" s="68">
        <f t="shared" si="16"/>
        <v>0</v>
      </c>
      <c r="AN41" s="68">
        <f t="shared" si="16"/>
        <v>2057</v>
      </c>
      <c r="AO41" s="68">
        <f t="shared" si="16"/>
        <v>0</v>
      </c>
      <c r="AP41" s="68">
        <f t="shared" si="16"/>
        <v>0</v>
      </c>
      <c r="AQ41" s="68">
        <f t="shared" si="16"/>
        <v>0</v>
      </c>
      <c r="AR41" s="68">
        <f t="shared" si="16"/>
        <v>0</v>
      </c>
      <c r="AS41" s="68">
        <f t="shared" si="16"/>
        <v>2057</v>
      </c>
      <c r="AT41" s="68">
        <f t="shared" si="16"/>
        <v>0</v>
      </c>
      <c r="AU41" s="68">
        <f t="shared" si="16"/>
        <v>0</v>
      </c>
      <c r="AV41" s="68">
        <f t="shared" si="16"/>
        <v>0</v>
      </c>
      <c r="AW41" s="68">
        <f t="shared" si="16"/>
        <v>0</v>
      </c>
      <c r="AX41" s="68">
        <f t="shared" si="16"/>
        <v>2057</v>
      </c>
      <c r="AY41" s="68">
        <f t="shared" si="16"/>
        <v>0</v>
      </c>
      <c r="AZ41" s="68">
        <f t="shared" si="16"/>
        <v>0</v>
      </c>
      <c r="BA41" s="68">
        <f t="shared" si="16"/>
        <v>0</v>
      </c>
      <c r="BB41" s="68">
        <f t="shared" si="16"/>
        <v>0</v>
      </c>
      <c r="BC41" s="69">
        <f t="shared" si="16"/>
        <v>2057</v>
      </c>
    </row>
    <row r="42" spans="1:55" s="3" customFormat="1" ht="15" customHeight="1" x14ac:dyDescent="0.2">
      <c r="A42" s="353"/>
      <c r="B42" s="142"/>
      <c r="C42" s="70"/>
      <c r="D42" s="72" t="s">
        <v>41</v>
      </c>
      <c r="E42" s="58"/>
      <c r="F42" s="58" t="s">
        <v>166</v>
      </c>
      <c r="G42" s="59" t="s">
        <v>6</v>
      </c>
      <c r="H42" s="60">
        <v>2017</v>
      </c>
      <c r="I42" s="61" t="s">
        <v>33</v>
      </c>
      <c r="J42" s="62">
        <v>30</v>
      </c>
      <c r="K42" s="63">
        <f t="shared" si="15"/>
        <v>2047</v>
      </c>
      <c r="L42" s="64">
        <f t="shared" ref="L42" si="18">K42</f>
        <v>2047</v>
      </c>
      <c r="M42" s="64">
        <v>1</v>
      </c>
      <c r="N42" s="66">
        <v>20570</v>
      </c>
      <c r="O42" s="91" t="s">
        <v>32</v>
      </c>
      <c r="P42" s="67">
        <f t="shared" si="2"/>
        <v>0</v>
      </c>
      <c r="Q42" s="68">
        <f t="shared" si="16"/>
        <v>0</v>
      </c>
      <c r="R42" s="68">
        <f t="shared" si="16"/>
        <v>0</v>
      </c>
      <c r="S42" s="68">
        <f t="shared" si="16"/>
        <v>0</v>
      </c>
      <c r="T42" s="68">
        <f t="shared" si="16"/>
        <v>0</v>
      </c>
      <c r="U42" s="68">
        <f t="shared" si="16"/>
        <v>0</v>
      </c>
      <c r="V42" s="68">
        <f t="shared" si="16"/>
        <v>0</v>
      </c>
      <c r="W42" s="68">
        <f t="shared" si="16"/>
        <v>0</v>
      </c>
      <c r="X42" s="68">
        <f t="shared" si="16"/>
        <v>0</v>
      </c>
      <c r="Y42" s="68">
        <f t="shared" si="16"/>
        <v>0</v>
      </c>
      <c r="Z42" s="68">
        <f t="shared" si="16"/>
        <v>0</v>
      </c>
      <c r="AA42" s="68">
        <f t="shared" si="16"/>
        <v>0</v>
      </c>
      <c r="AB42" s="68">
        <f t="shared" si="16"/>
        <v>0</v>
      </c>
      <c r="AC42" s="68">
        <f t="shared" si="16"/>
        <v>0</v>
      </c>
      <c r="AD42" s="68">
        <f t="shared" si="16"/>
        <v>0</v>
      </c>
      <c r="AE42" s="68">
        <f t="shared" si="16"/>
        <v>0</v>
      </c>
      <c r="AF42" s="68">
        <f t="shared" si="16"/>
        <v>0</v>
      </c>
      <c r="AG42" s="68">
        <f t="shared" si="16"/>
        <v>0</v>
      </c>
      <c r="AH42" s="68">
        <f t="shared" si="16"/>
        <v>0</v>
      </c>
      <c r="AI42" s="68">
        <f t="shared" si="16"/>
        <v>0</v>
      </c>
      <c r="AJ42" s="68">
        <f t="shared" si="16"/>
        <v>0</v>
      </c>
      <c r="AK42" s="68">
        <f t="shared" si="16"/>
        <v>0</v>
      </c>
      <c r="AL42" s="68">
        <f t="shared" ref="Q42:BC51" si="19">IF($F42="Ja",IF(MOD($L42-AL$10,$J42)=0,$N42,0),0)</f>
        <v>0</v>
      </c>
      <c r="AM42" s="68">
        <f t="shared" si="19"/>
        <v>0</v>
      </c>
      <c r="AN42" s="68">
        <f t="shared" si="19"/>
        <v>20570</v>
      </c>
      <c r="AO42" s="68">
        <f t="shared" si="19"/>
        <v>0</v>
      </c>
      <c r="AP42" s="68">
        <f t="shared" si="19"/>
        <v>0</v>
      </c>
      <c r="AQ42" s="68">
        <f t="shared" si="19"/>
        <v>0</v>
      </c>
      <c r="AR42" s="68">
        <f t="shared" si="19"/>
        <v>0</v>
      </c>
      <c r="AS42" s="68">
        <f t="shared" si="19"/>
        <v>0</v>
      </c>
      <c r="AT42" s="68">
        <f t="shared" si="19"/>
        <v>0</v>
      </c>
      <c r="AU42" s="68">
        <f t="shared" si="19"/>
        <v>0</v>
      </c>
      <c r="AV42" s="68">
        <f t="shared" si="19"/>
        <v>0</v>
      </c>
      <c r="AW42" s="68">
        <f t="shared" si="19"/>
        <v>0</v>
      </c>
      <c r="AX42" s="68">
        <f t="shared" si="19"/>
        <v>0</v>
      </c>
      <c r="AY42" s="68">
        <f t="shared" si="19"/>
        <v>0</v>
      </c>
      <c r="AZ42" s="68">
        <f t="shared" si="19"/>
        <v>0</v>
      </c>
      <c r="BA42" s="68">
        <f t="shared" si="19"/>
        <v>0</v>
      </c>
      <c r="BB42" s="68">
        <f t="shared" si="19"/>
        <v>0</v>
      </c>
      <c r="BC42" s="69">
        <f t="shared" si="19"/>
        <v>0</v>
      </c>
    </row>
    <row r="43" spans="1:55" s="3" customFormat="1" ht="15" customHeight="1" x14ac:dyDescent="0.2">
      <c r="A43" s="353"/>
      <c r="B43" s="142"/>
      <c r="C43" s="70"/>
      <c r="D43" s="86" t="s">
        <v>42</v>
      </c>
      <c r="E43" s="59"/>
      <c r="F43" s="59" t="s">
        <v>166</v>
      </c>
      <c r="G43" s="59" t="s">
        <v>6</v>
      </c>
      <c r="H43" s="60">
        <v>2018</v>
      </c>
      <c r="I43" s="61" t="s">
        <v>33</v>
      </c>
      <c r="J43" s="62">
        <v>30</v>
      </c>
      <c r="K43" s="63">
        <f t="shared" si="15"/>
        <v>2048</v>
      </c>
      <c r="L43" s="64">
        <v>2025</v>
      </c>
      <c r="M43" s="64">
        <v>6</v>
      </c>
      <c r="N43" s="66">
        <v>20933</v>
      </c>
      <c r="O43" s="91" t="s">
        <v>32</v>
      </c>
      <c r="P43" s="67">
        <f t="shared" si="2"/>
        <v>0</v>
      </c>
      <c r="Q43" s="68">
        <f t="shared" si="19"/>
        <v>0</v>
      </c>
      <c r="R43" s="340">
        <f t="shared" si="19"/>
        <v>20933</v>
      </c>
      <c r="S43" s="68">
        <f t="shared" si="19"/>
        <v>0</v>
      </c>
      <c r="T43" s="68">
        <f t="shared" si="19"/>
        <v>0</v>
      </c>
      <c r="U43" s="68">
        <f t="shared" si="19"/>
        <v>0</v>
      </c>
      <c r="V43" s="68">
        <f t="shared" si="19"/>
        <v>0</v>
      </c>
      <c r="W43" s="68">
        <f t="shared" si="19"/>
        <v>0</v>
      </c>
      <c r="X43" s="68">
        <f t="shared" si="19"/>
        <v>0</v>
      </c>
      <c r="Y43" s="68">
        <f t="shared" si="19"/>
        <v>0</v>
      </c>
      <c r="Z43" s="68">
        <f t="shared" si="19"/>
        <v>0</v>
      </c>
      <c r="AA43" s="68">
        <f t="shared" si="19"/>
        <v>0</v>
      </c>
      <c r="AB43" s="68">
        <f t="shared" si="19"/>
        <v>0</v>
      </c>
      <c r="AC43" s="68">
        <f t="shared" si="19"/>
        <v>0</v>
      </c>
      <c r="AD43" s="68">
        <f t="shared" si="19"/>
        <v>0</v>
      </c>
      <c r="AE43" s="68">
        <f t="shared" si="19"/>
        <v>0</v>
      </c>
      <c r="AF43" s="68">
        <f t="shared" si="19"/>
        <v>0</v>
      </c>
      <c r="AG43" s="68">
        <f t="shared" si="19"/>
        <v>0</v>
      </c>
      <c r="AH43" s="68">
        <f t="shared" si="19"/>
        <v>0</v>
      </c>
      <c r="AI43" s="68">
        <f t="shared" si="19"/>
        <v>0</v>
      </c>
      <c r="AJ43" s="68">
        <f t="shared" si="19"/>
        <v>0</v>
      </c>
      <c r="AK43" s="68">
        <f t="shared" si="19"/>
        <v>0</v>
      </c>
      <c r="AL43" s="68">
        <f t="shared" si="19"/>
        <v>0</v>
      </c>
      <c r="AM43" s="68">
        <f t="shared" si="19"/>
        <v>0</v>
      </c>
      <c r="AN43" s="68">
        <f t="shared" si="19"/>
        <v>0</v>
      </c>
      <c r="AO43" s="68">
        <f t="shared" si="19"/>
        <v>0</v>
      </c>
      <c r="AP43" s="68">
        <f t="shared" si="19"/>
        <v>0</v>
      </c>
      <c r="AQ43" s="68">
        <f t="shared" si="19"/>
        <v>0</v>
      </c>
      <c r="AR43" s="68">
        <f t="shared" si="19"/>
        <v>0</v>
      </c>
      <c r="AS43" s="68">
        <f t="shared" si="19"/>
        <v>0</v>
      </c>
      <c r="AT43" s="68">
        <f t="shared" si="19"/>
        <v>0</v>
      </c>
      <c r="AU43" s="68">
        <f t="shared" si="19"/>
        <v>0</v>
      </c>
      <c r="AV43" s="68">
        <f t="shared" si="19"/>
        <v>20933</v>
      </c>
      <c r="AW43" s="68">
        <f t="shared" si="19"/>
        <v>0</v>
      </c>
      <c r="AX43" s="68">
        <f t="shared" si="19"/>
        <v>0</v>
      </c>
      <c r="AY43" s="68">
        <f t="shared" si="19"/>
        <v>0</v>
      </c>
      <c r="AZ43" s="68">
        <f t="shared" si="19"/>
        <v>0</v>
      </c>
      <c r="BA43" s="68">
        <f t="shared" si="19"/>
        <v>0</v>
      </c>
      <c r="BB43" s="68">
        <f t="shared" si="19"/>
        <v>0</v>
      </c>
      <c r="BC43" s="69">
        <f t="shared" si="19"/>
        <v>0</v>
      </c>
    </row>
    <row r="44" spans="1:55" s="3" customFormat="1" ht="15" customHeight="1" x14ac:dyDescent="0.2">
      <c r="A44" s="353"/>
      <c r="B44" s="145"/>
      <c r="C44" s="75"/>
      <c r="D44" s="87" t="s">
        <v>43</v>
      </c>
      <c r="E44" s="76"/>
      <c r="F44" s="76" t="s">
        <v>166</v>
      </c>
      <c r="G44" s="76" t="s">
        <v>6</v>
      </c>
      <c r="H44" s="77">
        <v>2018</v>
      </c>
      <c r="I44" s="78" t="s">
        <v>33</v>
      </c>
      <c r="J44" s="79">
        <v>20</v>
      </c>
      <c r="K44" s="80">
        <f t="shared" si="15"/>
        <v>2038</v>
      </c>
      <c r="L44" s="81">
        <v>2025</v>
      </c>
      <c r="M44" s="81">
        <v>6</v>
      </c>
      <c r="N44" s="82">
        <v>22264</v>
      </c>
      <c r="O44" s="129" t="s">
        <v>32</v>
      </c>
      <c r="P44" s="83">
        <f t="shared" si="2"/>
        <v>0</v>
      </c>
      <c r="Q44" s="84">
        <f t="shared" si="19"/>
        <v>0</v>
      </c>
      <c r="R44" s="341">
        <f t="shared" si="19"/>
        <v>22264</v>
      </c>
      <c r="S44" s="84">
        <f t="shared" si="19"/>
        <v>0</v>
      </c>
      <c r="T44" s="84">
        <f t="shared" si="19"/>
        <v>0</v>
      </c>
      <c r="U44" s="84">
        <f t="shared" si="19"/>
        <v>0</v>
      </c>
      <c r="V44" s="84">
        <f t="shared" si="19"/>
        <v>0</v>
      </c>
      <c r="W44" s="84">
        <f t="shared" si="19"/>
        <v>0</v>
      </c>
      <c r="X44" s="84">
        <f t="shared" si="19"/>
        <v>0</v>
      </c>
      <c r="Y44" s="84">
        <f t="shared" si="19"/>
        <v>0</v>
      </c>
      <c r="Z44" s="84">
        <f t="shared" si="19"/>
        <v>0</v>
      </c>
      <c r="AA44" s="84">
        <f t="shared" si="19"/>
        <v>0</v>
      </c>
      <c r="AB44" s="84">
        <f t="shared" si="19"/>
        <v>0</v>
      </c>
      <c r="AC44" s="84">
        <f t="shared" si="19"/>
        <v>0</v>
      </c>
      <c r="AD44" s="84">
        <f t="shared" si="19"/>
        <v>0</v>
      </c>
      <c r="AE44" s="84">
        <f t="shared" si="19"/>
        <v>0</v>
      </c>
      <c r="AF44" s="84">
        <f t="shared" si="19"/>
        <v>0</v>
      </c>
      <c r="AG44" s="84">
        <f t="shared" si="19"/>
        <v>0</v>
      </c>
      <c r="AH44" s="84">
        <f t="shared" si="19"/>
        <v>0</v>
      </c>
      <c r="AI44" s="84">
        <f t="shared" si="19"/>
        <v>0</v>
      </c>
      <c r="AJ44" s="84">
        <f t="shared" si="19"/>
        <v>0</v>
      </c>
      <c r="AK44" s="84">
        <f t="shared" si="19"/>
        <v>0</v>
      </c>
      <c r="AL44" s="84">
        <f t="shared" si="19"/>
        <v>22264</v>
      </c>
      <c r="AM44" s="84">
        <f t="shared" si="19"/>
        <v>0</v>
      </c>
      <c r="AN44" s="84">
        <f t="shared" si="19"/>
        <v>0</v>
      </c>
      <c r="AO44" s="84">
        <f t="shared" si="19"/>
        <v>0</v>
      </c>
      <c r="AP44" s="84">
        <f t="shared" si="19"/>
        <v>0</v>
      </c>
      <c r="AQ44" s="84">
        <f t="shared" si="19"/>
        <v>0</v>
      </c>
      <c r="AR44" s="84">
        <f t="shared" si="19"/>
        <v>0</v>
      </c>
      <c r="AS44" s="84">
        <f t="shared" si="19"/>
        <v>0</v>
      </c>
      <c r="AT44" s="84">
        <f t="shared" si="19"/>
        <v>0</v>
      </c>
      <c r="AU44" s="84">
        <f t="shared" si="19"/>
        <v>0</v>
      </c>
      <c r="AV44" s="84">
        <f t="shared" si="19"/>
        <v>0</v>
      </c>
      <c r="AW44" s="84">
        <f t="shared" si="19"/>
        <v>0</v>
      </c>
      <c r="AX44" s="84">
        <f t="shared" si="19"/>
        <v>0</v>
      </c>
      <c r="AY44" s="84">
        <f t="shared" si="19"/>
        <v>0</v>
      </c>
      <c r="AZ44" s="84">
        <f t="shared" si="19"/>
        <v>0</v>
      </c>
      <c r="BA44" s="84">
        <f t="shared" si="19"/>
        <v>0</v>
      </c>
      <c r="BB44" s="84">
        <f t="shared" si="19"/>
        <v>0</v>
      </c>
      <c r="BC44" s="85">
        <f t="shared" si="19"/>
        <v>0</v>
      </c>
    </row>
    <row r="45" spans="1:55" s="3" customFormat="1" ht="15" customHeight="1" x14ac:dyDescent="0.2">
      <c r="A45" s="353"/>
      <c r="B45" s="146"/>
      <c r="C45" s="147"/>
      <c r="D45" s="148"/>
      <c r="E45" s="149"/>
      <c r="F45" s="149"/>
      <c r="G45" s="150"/>
      <c r="H45" s="151"/>
      <c r="I45" s="152"/>
      <c r="J45" s="153"/>
      <c r="K45" s="154"/>
      <c r="L45" s="155"/>
      <c r="M45" s="155"/>
      <c r="N45" s="156"/>
      <c r="O45" s="157"/>
      <c r="P45" s="158">
        <f>SUM(P33:P44)</f>
        <v>0</v>
      </c>
      <c r="Q45" s="159">
        <f t="shared" ref="Q45:BC45" si="20">SUM(Q33:Q44)</f>
        <v>0</v>
      </c>
      <c r="R45" s="159">
        <f t="shared" si="20"/>
        <v>49005</v>
      </c>
      <c r="S45" s="159">
        <f t="shared" si="20"/>
        <v>0</v>
      </c>
      <c r="T45" s="159">
        <f t="shared" si="20"/>
        <v>14399</v>
      </c>
      <c r="U45" s="159">
        <f t="shared" si="20"/>
        <v>484</v>
      </c>
      <c r="V45" s="159">
        <f t="shared" si="20"/>
        <v>0</v>
      </c>
      <c r="W45" s="159">
        <f t="shared" si="20"/>
        <v>605</v>
      </c>
      <c r="X45" s="159">
        <f t="shared" si="20"/>
        <v>484</v>
      </c>
      <c r="Y45" s="159">
        <f t="shared" si="20"/>
        <v>2057</v>
      </c>
      <c r="Z45" s="159">
        <f t="shared" si="20"/>
        <v>0</v>
      </c>
      <c r="AA45" s="159">
        <f t="shared" si="20"/>
        <v>484</v>
      </c>
      <c r="AB45" s="159">
        <f t="shared" si="20"/>
        <v>605</v>
      </c>
      <c r="AC45" s="159">
        <f t="shared" si="20"/>
        <v>0</v>
      </c>
      <c r="AD45" s="159">
        <f t="shared" si="20"/>
        <v>2541</v>
      </c>
      <c r="AE45" s="159">
        <f t="shared" si="20"/>
        <v>0</v>
      </c>
      <c r="AF45" s="159">
        <f t="shared" si="20"/>
        <v>41019</v>
      </c>
      <c r="AG45" s="159">
        <f t="shared" si="20"/>
        <v>5808</v>
      </c>
      <c r="AH45" s="159">
        <f t="shared" si="20"/>
        <v>0</v>
      </c>
      <c r="AI45" s="159">
        <f t="shared" si="20"/>
        <v>2057</v>
      </c>
      <c r="AJ45" s="159">
        <f t="shared" si="20"/>
        <v>484</v>
      </c>
      <c r="AK45" s="159">
        <f t="shared" si="20"/>
        <v>0</v>
      </c>
      <c r="AL45" s="159">
        <f t="shared" si="20"/>
        <v>22869</v>
      </c>
      <c r="AM45" s="159">
        <f t="shared" si="20"/>
        <v>484</v>
      </c>
      <c r="AN45" s="159">
        <f t="shared" si="20"/>
        <v>34969</v>
      </c>
      <c r="AO45" s="159">
        <f t="shared" si="20"/>
        <v>0</v>
      </c>
      <c r="AP45" s="159">
        <f t="shared" si="20"/>
        <v>484</v>
      </c>
      <c r="AQ45" s="159">
        <f t="shared" si="20"/>
        <v>605</v>
      </c>
      <c r="AR45" s="159">
        <f t="shared" si="20"/>
        <v>0</v>
      </c>
      <c r="AS45" s="159">
        <f t="shared" si="20"/>
        <v>2541</v>
      </c>
      <c r="AT45" s="159">
        <f t="shared" si="20"/>
        <v>0</v>
      </c>
      <c r="AU45" s="159">
        <f t="shared" si="20"/>
        <v>41019</v>
      </c>
      <c r="AV45" s="159">
        <f t="shared" si="20"/>
        <v>26741</v>
      </c>
      <c r="AW45" s="159">
        <f t="shared" si="20"/>
        <v>0</v>
      </c>
      <c r="AX45" s="159">
        <f t="shared" si="20"/>
        <v>2057</v>
      </c>
      <c r="AY45" s="159">
        <f t="shared" si="20"/>
        <v>484</v>
      </c>
      <c r="AZ45" s="159">
        <f t="shared" si="20"/>
        <v>0</v>
      </c>
      <c r="BA45" s="159">
        <f t="shared" si="20"/>
        <v>605</v>
      </c>
      <c r="BB45" s="159">
        <f t="shared" si="20"/>
        <v>484</v>
      </c>
      <c r="BC45" s="159">
        <f t="shared" si="20"/>
        <v>2057</v>
      </c>
    </row>
    <row r="46" spans="1:55" s="3" customFormat="1" ht="15" customHeight="1" x14ac:dyDescent="0.2">
      <c r="A46" s="353"/>
      <c r="B46" s="92">
        <v>4</v>
      </c>
      <c r="C46" s="47" t="s">
        <v>210</v>
      </c>
      <c r="D46" s="48" t="s">
        <v>28</v>
      </c>
      <c r="E46" s="49" t="s">
        <v>3</v>
      </c>
      <c r="F46" s="49" t="s">
        <v>166</v>
      </c>
      <c r="G46" s="49" t="s">
        <v>29</v>
      </c>
      <c r="H46" s="50">
        <v>2004</v>
      </c>
      <c r="I46" s="50" t="s">
        <v>30</v>
      </c>
      <c r="J46" s="51">
        <v>15</v>
      </c>
      <c r="K46" s="52">
        <f>J46+H46</f>
        <v>2019</v>
      </c>
      <c r="L46" s="53">
        <v>2027</v>
      </c>
      <c r="M46" s="54">
        <v>7664</v>
      </c>
      <c r="N46" s="55">
        <v>41019</v>
      </c>
      <c r="O46" s="126" t="s">
        <v>31</v>
      </c>
      <c r="P46" s="67">
        <f t="shared" si="2"/>
        <v>0</v>
      </c>
      <c r="Q46" s="56">
        <f t="shared" si="19"/>
        <v>0</v>
      </c>
      <c r="R46" s="56">
        <f t="shared" si="19"/>
        <v>0</v>
      </c>
      <c r="S46" s="56">
        <f t="shared" si="19"/>
        <v>0</v>
      </c>
      <c r="T46" s="56">
        <f t="shared" si="19"/>
        <v>41019</v>
      </c>
      <c r="U46" s="56">
        <f t="shared" si="19"/>
        <v>0</v>
      </c>
      <c r="V46" s="56">
        <f t="shared" si="19"/>
        <v>0</v>
      </c>
      <c r="W46" s="56">
        <f t="shared" si="19"/>
        <v>0</v>
      </c>
      <c r="X46" s="56">
        <f t="shared" si="19"/>
        <v>0</v>
      </c>
      <c r="Y46" s="56">
        <f t="shared" si="19"/>
        <v>0</v>
      </c>
      <c r="Z46" s="56">
        <f t="shared" si="19"/>
        <v>0</v>
      </c>
      <c r="AA46" s="56">
        <f t="shared" si="19"/>
        <v>0</v>
      </c>
      <c r="AB46" s="56">
        <f t="shared" si="19"/>
        <v>0</v>
      </c>
      <c r="AC46" s="56">
        <f t="shared" si="19"/>
        <v>0</v>
      </c>
      <c r="AD46" s="56">
        <f t="shared" si="19"/>
        <v>0</v>
      </c>
      <c r="AE46" s="56">
        <f t="shared" si="19"/>
        <v>0</v>
      </c>
      <c r="AF46" s="56">
        <f t="shared" si="19"/>
        <v>0</v>
      </c>
      <c r="AG46" s="56">
        <f t="shared" si="19"/>
        <v>0</v>
      </c>
      <c r="AH46" s="56">
        <f t="shared" si="19"/>
        <v>0</v>
      </c>
      <c r="AI46" s="56">
        <f t="shared" si="19"/>
        <v>41019</v>
      </c>
      <c r="AJ46" s="56">
        <f t="shared" si="19"/>
        <v>0</v>
      </c>
      <c r="AK46" s="56">
        <f t="shared" si="19"/>
        <v>0</v>
      </c>
      <c r="AL46" s="56">
        <f t="shared" si="19"/>
        <v>0</v>
      </c>
      <c r="AM46" s="56">
        <f t="shared" si="19"/>
        <v>0</v>
      </c>
      <c r="AN46" s="56">
        <f t="shared" si="19"/>
        <v>0</v>
      </c>
      <c r="AO46" s="56">
        <f t="shared" si="19"/>
        <v>0</v>
      </c>
      <c r="AP46" s="56">
        <f t="shared" si="19"/>
        <v>0</v>
      </c>
      <c r="AQ46" s="56">
        <f t="shared" si="19"/>
        <v>0</v>
      </c>
      <c r="AR46" s="56">
        <f t="shared" si="19"/>
        <v>0</v>
      </c>
      <c r="AS46" s="56">
        <f t="shared" si="19"/>
        <v>0</v>
      </c>
      <c r="AT46" s="56">
        <f t="shared" si="19"/>
        <v>0</v>
      </c>
      <c r="AU46" s="56">
        <f t="shared" si="19"/>
        <v>0</v>
      </c>
      <c r="AV46" s="56">
        <f t="shared" si="19"/>
        <v>0</v>
      </c>
      <c r="AW46" s="56">
        <f t="shared" si="19"/>
        <v>0</v>
      </c>
      <c r="AX46" s="56">
        <f t="shared" si="19"/>
        <v>41019</v>
      </c>
      <c r="AY46" s="56">
        <f t="shared" si="19"/>
        <v>0</v>
      </c>
      <c r="AZ46" s="56">
        <f t="shared" si="19"/>
        <v>0</v>
      </c>
      <c r="BA46" s="56">
        <f t="shared" si="19"/>
        <v>0</v>
      </c>
      <c r="BB46" s="56">
        <f t="shared" si="19"/>
        <v>0</v>
      </c>
      <c r="BC46" s="57">
        <f t="shared" si="19"/>
        <v>0</v>
      </c>
    </row>
    <row r="47" spans="1:55" s="3" customFormat="1" ht="15" customHeight="1" x14ac:dyDescent="0.2">
      <c r="A47" s="353"/>
      <c r="B47" s="142"/>
      <c r="C47" s="70"/>
      <c r="D47" s="71" t="s">
        <v>34</v>
      </c>
      <c r="E47" s="58" t="s">
        <v>7</v>
      </c>
      <c r="F47" s="58" t="s">
        <v>166</v>
      </c>
      <c r="G47" s="59" t="s">
        <v>29</v>
      </c>
      <c r="H47" s="60">
        <v>2005</v>
      </c>
      <c r="I47" s="61" t="s">
        <v>33</v>
      </c>
      <c r="J47" s="62">
        <v>15</v>
      </c>
      <c r="K47" s="63">
        <f t="shared" ref="K47:K60" si="21">J47+H47</f>
        <v>2020</v>
      </c>
      <c r="L47" s="64">
        <v>2025</v>
      </c>
      <c r="M47" s="65">
        <v>2</v>
      </c>
      <c r="N47" s="66">
        <v>4719</v>
      </c>
      <c r="O47" s="91" t="s">
        <v>32</v>
      </c>
      <c r="P47" s="67">
        <f t="shared" si="2"/>
        <v>0</v>
      </c>
      <c r="Q47" s="68">
        <f t="shared" si="19"/>
        <v>0</v>
      </c>
      <c r="R47" s="68">
        <f t="shared" si="19"/>
        <v>4719</v>
      </c>
      <c r="S47" s="68">
        <f t="shared" si="19"/>
        <v>0</v>
      </c>
      <c r="T47" s="68">
        <f t="shared" si="19"/>
        <v>0</v>
      </c>
      <c r="U47" s="68">
        <f t="shared" si="19"/>
        <v>0</v>
      </c>
      <c r="V47" s="68">
        <f t="shared" si="19"/>
        <v>0</v>
      </c>
      <c r="W47" s="68">
        <f t="shared" si="19"/>
        <v>0</v>
      </c>
      <c r="X47" s="68">
        <f t="shared" si="19"/>
        <v>0</v>
      </c>
      <c r="Y47" s="68">
        <f t="shared" si="19"/>
        <v>0</v>
      </c>
      <c r="Z47" s="68">
        <f t="shared" si="19"/>
        <v>0</v>
      </c>
      <c r="AA47" s="68">
        <f t="shared" si="19"/>
        <v>0</v>
      </c>
      <c r="AB47" s="68">
        <f t="shared" si="19"/>
        <v>0</v>
      </c>
      <c r="AC47" s="68">
        <f t="shared" si="19"/>
        <v>0</v>
      </c>
      <c r="AD47" s="68">
        <f t="shared" si="19"/>
        <v>0</v>
      </c>
      <c r="AE47" s="68">
        <f t="shared" si="19"/>
        <v>0</v>
      </c>
      <c r="AF47" s="68">
        <f t="shared" si="19"/>
        <v>0</v>
      </c>
      <c r="AG47" s="68">
        <f t="shared" si="19"/>
        <v>4719</v>
      </c>
      <c r="AH47" s="68">
        <f t="shared" si="19"/>
        <v>0</v>
      </c>
      <c r="AI47" s="68">
        <f t="shared" si="19"/>
        <v>0</v>
      </c>
      <c r="AJ47" s="68">
        <f t="shared" si="19"/>
        <v>0</v>
      </c>
      <c r="AK47" s="68">
        <f t="shared" si="19"/>
        <v>0</v>
      </c>
      <c r="AL47" s="68">
        <f t="shared" si="19"/>
        <v>0</v>
      </c>
      <c r="AM47" s="68">
        <f t="shared" si="19"/>
        <v>0</v>
      </c>
      <c r="AN47" s="68">
        <f t="shared" si="19"/>
        <v>0</v>
      </c>
      <c r="AO47" s="68">
        <f t="shared" si="19"/>
        <v>0</v>
      </c>
      <c r="AP47" s="68">
        <f t="shared" si="19"/>
        <v>0</v>
      </c>
      <c r="AQ47" s="68">
        <f t="shared" si="19"/>
        <v>0</v>
      </c>
      <c r="AR47" s="68">
        <f t="shared" si="19"/>
        <v>0</v>
      </c>
      <c r="AS47" s="68">
        <f t="shared" si="19"/>
        <v>0</v>
      </c>
      <c r="AT47" s="68">
        <f t="shared" si="19"/>
        <v>0</v>
      </c>
      <c r="AU47" s="68">
        <f t="shared" si="19"/>
        <v>0</v>
      </c>
      <c r="AV47" s="68">
        <f t="shared" si="19"/>
        <v>4719</v>
      </c>
      <c r="AW47" s="68">
        <f t="shared" si="19"/>
        <v>0</v>
      </c>
      <c r="AX47" s="68">
        <f t="shared" si="19"/>
        <v>0</v>
      </c>
      <c r="AY47" s="68">
        <f t="shared" si="19"/>
        <v>0</v>
      </c>
      <c r="AZ47" s="68">
        <f t="shared" si="19"/>
        <v>0</v>
      </c>
      <c r="BA47" s="68">
        <f t="shared" si="19"/>
        <v>0</v>
      </c>
      <c r="BB47" s="68">
        <f t="shared" si="19"/>
        <v>0</v>
      </c>
      <c r="BC47" s="69">
        <f t="shared" si="19"/>
        <v>0</v>
      </c>
    </row>
    <row r="48" spans="1:55" s="3" customFormat="1" ht="15" customHeight="1" x14ac:dyDescent="0.2">
      <c r="A48" s="353"/>
      <c r="B48" s="142"/>
      <c r="C48" s="70"/>
      <c r="D48" s="72" t="s">
        <v>35</v>
      </c>
      <c r="E48" s="58"/>
      <c r="F48" s="58" t="s">
        <v>166</v>
      </c>
      <c r="G48" s="59" t="s">
        <v>6</v>
      </c>
      <c r="H48" s="60"/>
      <c r="I48" s="61" t="s">
        <v>33</v>
      </c>
      <c r="J48" s="62">
        <v>3</v>
      </c>
      <c r="K48" s="63">
        <f t="shared" si="21"/>
        <v>3</v>
      </c>
      <c r="L48" s="64">
        <v>2025</v>
      </c>
      <c r="M48" s="65">
        <v>2</v>
      </c>
      <c r="N48" s="66">
        <v>484</v>
      </c>
      <c r="O48" s="91" t="s">
        <v>32</v>
      </c>
      <c r="P48" s="67">
        <f t="shared" si="2"/>
        <v>0</v>
      </c>
      <c r="Q48" s="68">
        <f t="shared" si="19"/>
        <v>0</v>
      </c>
      <c r="R48" s="68">
        <f t="shared" si="19"/>
        <v>484</v>
      </c>
      <c r="S48" s="68">
        <f t="shared" si="19"/>
        <v>0</v>
      </c>
      <c r="T48" s="68">
        <f t="shared" si="19"/>
        <v>0</v>
      </c>
      <c r="U48" s="68">
        <f t="shared" si="19"/>
        <v>484</v>
      </c>
      <c r="V48" s="68">
        <f t="shared" si="19"/>
        <v>0</v>
      </c>
      <c r="W48" s="68">
        <f t="shared" si="19"/>
        <v>0</v>
      </c>
      <c r="X48" s="68">
        <f t="shared" si="19"/>
        <v>484</v>
      </c>
      <c r="Y48" s="68">
        <f t="shared" si="19"/>
        <v>0</v>
      </c>
      <c r="Z48" s="68">
        <f t="shared" si="19"/>
        <v>0</v>
      </c>
      <c r="AA48" s="68">
        <f t="shared" si="19"/>
        <v>484</v>
      </c>
      <c r="AB48" s="68">
        <f t="shared" si="19"/>
        <v>0</v>
      </c>
      <c r="AC48" s="68">
        <f t="shared" si="19"/>
        <v>0</v>
      </c>
      <c r="AD48" s="68">
        <f t="shared" si="19"/>
        <v>484</v>
      </c>
      <c r="AE48" s="68">
        <f t="shared" si="19"/>
        <v>0</v>
      </c>
      <c r="AF48" s="68">
        <f t="shared" si="19"/>
        <v>0</v>
      </c>
      <c r="AG48" s="68">
        <f t="shared" si="19"/>
        <v>484</v>
      </c>
      <c r="AH48" s="68">
        <f t="shared" si="19"/>
        <v>0</v>
      </c>
      <c r="AI48" s="68">
        <f t="shared" si="19"/>
        <v>0</v>
      </c>
      <c r="AJ48" s="68">
        <f t="shared" si="19"/>
        <v>484</v>
      </c>
      <c r="AK48" s="68">
        <f t="shared" si="19"/>
        <v>0</v>
      </c>
      <c r="AL48" s="68">
        <f t="shared" si="19"/>
        <v>0</v>
      </c>
      <c r="AM48" s="68">
        <f t="shared" si="19"/>
        <v>484</v>
      </c>
      <c r="AN48" s="68">
        <f t="shared" si="19"/>
        <v>0</v>
      </c>
      <c r="AO48" s="68">
        <f t="shared" si="19"/>
        <v>0</v>
      </c>
      <c r="AP48" s="68">
        <f t="shared" si="19"/>
        <v>484</v>
      </c>
      <c r="AQ48" s="68">
        <f t="shared" si="19"/>
        <v>0</v>
      </c>
      <c r="AR48" s="68">
        <f t="shared" si="19"/>
        <v>0</v>
      </c>
      <c r="AS48" s="68">
        <f t="shared" si="19"/>
        <v>484</v>
      </c>
      <c r="AT48" s="68">
        <f t="shared" si="19"/>
        <v>0</v>
      </c>
      <c r="AU48" s="68">
        <f t="shared" si="19"/>
        <v>0</v>
      </c>
      <c r="AV48" s="68">
        <f t="shared" si="19"/>
        <v>484</v>
      </c>
      <c r="AW48" s="68">
        <f t="shared" si="19"/>
        <v>0</v>
      </c>
      <c r="AX48" s="68">
        <f t="shared" si="19"/>
        <v>0</v>
      </c>
      <c r="AY48" s="68">
        <f t="shared" si="19"/>
        <v>484</v>
      </c>
      <c r="AZ48" s="68">
        <f t="shared" si="19"/>
        <v>0</v>
      </c>
      <c r="BA48" s="68">
        <f t="shared" si="19"/>
        <v>0</v>
      </c>
      <c r="BB48" s="68">
        <f t="shared" si="19"/>
        <v>484</v>
      </c>
      <c r="BC48" s="69">
        <f t="shared" si="19"/>
        <v>0</v>
      </c>
    </row>
    <row r="49" spans="1:55" s="3" customFormat="1" ht="15" customHeight="1" x14ac:dyDescent="0.2">
      <c r="A49" s="353"/>
      <c r="B49" s="142"/>
      <c r="C49" s="70"/>
      <c r="D49" s="72" t="s">
        <v>44</v>
      </c>
      <c r="E49" s="58" t="s">
        <v>7</v>
      </c>
      <c r="F49" s="58" t="s">
        <v>211</v>
      </c>
      <c r="G49" s="59" t="s">
        <v>6</v>
      </c>
      <c r="H49" s="60"/>
      <c r="I49" s="61" t="s">
        <v>33</v>
      </c>
      <c r="J49" s="62">
        <v>20</v>
      </c>
      <c r="K49" s="63">
        <f t="shared" si="21"/>
        <v>20</v>
      </c>
      <c r="L49" s="64">
        <v>2030</v>
      </c>
      <c r="M49" s="64">
        <v>2</v>
      </c>
      <c r="N49" s="66">
        <v>12826</v>
      </c>
      <c r="O49" s="91" t="s">
        <v>32</v>
      </c>
      <c r="P49" s="67">
        <f t="shared" si="2"/>
        <v>0</v>
      </c>
      <c r="Q49" s="68">
        <f t="shared" si="19"/>
        <v>0</v>
      </c>
      <c r="R49" s="68">
        <f t="shared" si="19"/>
        <v>0</v>
      </c>
      <c r="S49" s="68">
        <f t="shared" si="19"/>
        <v>0</v>
      </c>
      <c r="T49" s="68">
        <f t="shared" si="19"/>
        <v>0</v>
      </c>
      <c r="U49" s="68">
        <f t="shared" si="19"/>
        <v>0</v>
      </c>
      <c r="V49" s="68">
        <f t="shared" si="19"/>
        <v>0</v>
      </c>
      <c r="W49" s="68">
        <f t="shared" si="19"/>
        <v>0</v>
      </c>
      <c r="X49" s="68">
        <f t="shared" si="19"/>
        <v>0</v>
      </c>
      <c r="Y49" s="68">
        <f t="shared" si="19"/>
        <v>0</v>
      </c>
      <c r="Z49" s="68">
        <f t="shared" si="19"/>
        <v>0</v>
      </c>
      <c r="AA49" s="68">
        <f t="shared" si="19"/>
        <v>0</v>
      </c>
      <c r="AB49" s="68">
        <f t="shared" si="19"/>
        <v>0</v>
      </c>
      <c r="AC49" s="68">
        <f t="shared" si="19"/>
        <v>0</v>
      </c>
      <c r="AD49" s="68">
        <f t="shared" si="19"/>
        <v>0</v>
      </c>
      <c r="AE49" s="68">
        <f t="shared" si="19"/>
        <v>0</v>
      </c>
      <c r="AF49" s="68">
        <f t="shared" si="19"/>
        <v>0</v>
      </c>
      <c r="AG49" s="68">
        <f t="shared" si="19"/>
        <v>0</v>
      </c>
      <c r="AH49" s="68">
        <f t="shared" si="19"/>
        <v>0</v>
      </c>
      <c r="AI49" s="68">
        <f t="shared" si="19"/>
        <v>0</v>
      </c>
      <c r="AJ49" s="68">
        <f t="shared" si="19"/>
        <v>0</v>
      </c>
      <c r="AK49" s="68">
        <f t="shared" si="19"/>
        <v>0</v>
      </c>
      <c r="AL49" s="68">
        <f t="shared" si="19"/>
        <v>0</v>
      </c>
      <c r="AM49" s="68">
        <f t="shared" si="19"/>
        <v>0</v>
      </c>
      <c r="AN49" s="68">
        <f t="shared" si="19"/>
        <v>0</v>
      </c>
      <c r="AO49" s="68">
        <f t="shared" si="19"/>
        <v>0</v>
      </c>
      <c r="AP49" s="68">
        <f t="shared" si="19"/>
        <v>0</v>
      </c>
      <c r="AQ49" s="68">
        <f t="shared" si="19"/>
        <v>0</v>
      </c>
      <c r="AR49" s="68">
        <f t="shared" si="19"/>
        <v>0</v>
      </c>
      <c r="AS49" s="68">
        <f t="shared" si="19"/>
        <v>0</v>
      </c>
      <c r="AT49" s="68">
        <f t="shared" si="19"/>
        <v>0</v>
      </c>
      <c r="AU49" s="68">
        <f t="shared" si="19"/>
        <v>0</v>
      </c>
      <c r="AV49" s="68">
        <f t="shared" si="19"/>
        <v>0</v>
      </c>
      <c r="AW49" s="68">
        <f t="shared" si="19"/>
        <v>0</v>
      </c>
      <c r="AX49" s="68">
        <f t="shared" si="19"/>
        <v>0</v>
      </c>
      <c r="AY49" s="68">
        <f t="shared" si="19"/>
        <v>0</v>
      </c>
      <c r="AZ49" s="68">
        <f t="shared" si="19"/>
        <v>0</v>
      </c>
      <c r="BA49" s="68">
        <f t="shared" si="19"/>
        <v>0</v>
      </c>
      <c r="BB49" s="68">
        <f t="shared" si="19"/>
        <v>0</v>
      </c>
      <c r="BC49" s="69">
        <f t="shared" si="19"/>
        <v>0</v>
      </c>
    </row>
    <row r="50" spans="1:55" s="3" customFormat="1" ht="15" customHeight="1" x14ac:dyDescent="0.2">
      <c r="A50" s="353"/>
      <c r="B50" s="142"/>
      <c r="C50" s="70"/>
      <c r="D50" s="72" t="s">
        <v>209</v>
      </c>
      <c r="E50" s="58"/>
      <c r="F50" s="58" t="s">
        <v>166</v>
      </c>
      <c r="G50" s="59" t="s">
        <v>2</v>
      </c>
      <c r="H50" s="60"/>
      <c r="I50" s="61" t="s">
        <v>33</v>
      </c>
      <c r="J50" s="62">
        <v>5</v>
      </c>
      <c r="K50" s="63">
        <f t="shared" si="21"/>
        <v>5</v>
      </c>
      <c r="L50" s="64">
        <v>2025</v>
      </c>
      <c r="M50" s="65">
        <v>4</v>
      </c>
      <c r="N50" s="66">
        <v>605</v>
      </c>
      <c r="O50" s="91" t="s">
        <v>32</v>
      </c>
      <c r="P50" s="67">
        <f t="shared" si="2"/>
        <v>0</v>
      </c>
      <c r="Q50" s="68">
        <f t="shared" si="2"/>
        <v>0</v>
      </c>
      <c r="R50" s="68">
        <f t="shared" si="2"/>
        <v>605</v>
      </c>
      <c r="S50" s="68">
        <f t="shared" si="2"/>
        <v>0</v>
      </c>
      <c r="T50" s="68">
        <f t="shared" si="2"/>
        <v>0</v>
      </c>
      <c r="U50" s="68">
        <f t="shared" si="2"/>
        <v>0</v>
      </c>
      <c r="V50" s="68">
        <f t="shared" si="2"/>
        <v>0</v>
      </c>
      <c r="W50" s="68">
        <f t="shared" si="2"/>
        <v>605</v>
      </c>
      <c r="X50" s="68">
        <f t="shared" si="2"/>
        <v>0</v>
      </c>
      <c r="Y50" s="68">
        <f t="shared" si="2"/>
        <v>0</v>
      </c>
      <c r="Z50" s="68">
        <f t="shared" si="2"/>
        <v>0</v>
      </c>
      <c r="AA50" s="68">
        <f t="shared" si="2"/>
        <v>0</v>
      </c>
      <c r="AB50" s="68">
        <f t="shared" si="2"/>
        <v>605</v>
      </c>
      <c r="AC50" s="68">
        <f t="shared" si="2"/>
        <v>0</v>
      </c>
      <c r="AD50" s="68">
        <f t="shared" si="2"/>
        <v>0</v>
      </c>
      <c r="AE50" s="68">
        <f t="shared" si="2"/>
        <v>0</v>
      </c>
      <c r="AF50" s="68">
        <f t="shared" ref="AF50:BC50" si="22">IF($F50="Ja",IF(MOD($L50-AF$10,$J50)=0,$N50,0),0)</f>
        <v>0</v>
      </c>
      <c r="AG50" s="68">
        <f t="shared" si="22"/>
        <v>605</v>
      </c>
      <c r="AH50" s="68">
        <f t="shared" si="22"/>
        <v>0</v>
      </c>
      <c r="AI50" s="68">
        <f t="shared" si="22"/>
        <v>0</v>
      </c>
      <c r="AJ50" s="68">
        <f t="shared" si="22"/>
        <v>0</v>
      </c>
      <c r="AK50" s="68">
        <f t="shared" si="22"/>
        <v>0</v>
      </c>
      <c r="AL50" s="68">
        <f t="shared" si="22"/>
        <v>605</v>
      </c>
      <c r="AM50" s="68">
        <f t="shared" si="22"/>
        <v>0</v>
      </c>
      <c r="AN50" s="68">
        <f t="shared" si="22"/>
        <v>0</v>
      </c>
      <c r="AO50" s="68">
        <f t="shared" si="22"/>
        <v>0</v>
      </c>
      <c r="AP50" s="68">
        <f t="shared" si="22"/>
        <v>0</v>
      </c>
      <c r="AQ50" s="68">
        <f t="shared" si="22"/>
        <v>605</v>
      </c>
      <c r="AR50" s="68">
        <f t="shared" si="22"/>
        <v>0</v>
      </c>
      <c r="AS50" s="68">
        <f t="shared" si="22"/>
        <v>0</v>
      </c>
      <c r="AT50" s="68">
        <f t="shared" si="22"/>
        <v>0</v>
      </c>
      <c r="AU50" s="68">
        <f t="shared" si="22"/>
        <v>0</v>
      </c>
      <c r="AV50" s="68">
        <f t="shared" si="22"/>
        <v>605</v>
      </c>
      <c r="AW50" s="68">
        <f t="shared" si="22"/>
        <v>0</v>
      </c>
      <c r="AX50" s="68">
        <f t="shared" si="22"/>
        <v>0</v>
      </c>
      <c r="AY50" s="68">
        <f t="shared" si="22"/>
        <v>0</v>
      </c>
      <c r="AZ50" s="68">
        <f t="shared" si="22"/>
        <v>0</v>
      </c>
      <c r="BA50" s="68">
        <f t="shared" si="22"/>
        <v>605</v>
      </c>
      <c r="BB50" s="68">
        <f t="shared" si="22"/>
        <v>0</v>
      </c>
      <c r="BC50" s="69">
        <f t="shared" si="22"/>
        <v>0</v>
      </c>
    </row>
    <row r="51" spans="1:55" s="3" customFormat="1" ht="15" customHeight="1" x14ac:dyDescent="0.2">
      <c r="A51" s="353"/>
      <c r="B51" s="142"/>
      <c r="C51" s="70"/>
      <c r="D51" s="72" t="s">
        <v>45</v>
      </c>
      <c r="E51" s="58" t="s">
        <v>3</v>
      </c>
      <c r="F51" s="58" t="s">
        <v>211</v>
      </c>
      <c r="G51" s="59" t="s">
        <v>6</v>
      </c>
      <c r="H51" s="60">
        <v>2023</v>
      </c>
      <c r="I51" s="61" t="s">
        <v>33</v>
      </c>
      <c r="J51" s="62">
        <v>20</v>
      </c>
      <c r="K51" s="63">
        <f t="shared" si="21"/>
        <v>2043</v>
      </c>
      <c r="L51" s="64">
        <f>K51</f>
        <v>2043</v>
      </c>
      <c r="M51" s="64">
        <v>105</v>
      </c>
      <c r="N51" s="66">
        <v>0</v>
      </c>
      <c r="O51" s="91" t="s">
        <v>38</v>
      </c>
      <c r="P51" s="67">
        <f t="shared" si="2"/>
        <v>0</v>
      </c>
      <c r="Q51" s="68">
        <f t="shared" si="19"/>
        <v>0</v>
      </c>
      <c r="R51" s="68">
        <f t="shared" si="19"/>
        <v>0</v>
      </c>
      <c r="S51" s="68">
        <f t="shared" si="19"/>
        <v>0</v>
      </c>
      <c r="T51" s="68">
        <f t="shared" ref="Q51:BC57" si="23">IF($F51="Ja",IF(MOD($L51-T$10,$J51)=0,$N51,0),0)</f>
        <v>0</v>
      </c>
      <c r="U51" s="68">
        <f t="shared" si="23"/>
        <v>0</v>
      </c>
      <c r="V51" s="68">
        <f t="shared" si="23"/>
        <v>0</v>
      </c>
      <c r="W51" s="68">
        <f t="shared" si="23"/>
        <v>0</v>
      </c>
      <c r="X51" s="68">
        <f t="shared" si="23"/>
        <v>0</v>
      </c>
      <c r="Y51" s="68">
        <f t="shared" si="23"/>
        <v>0</v>
      </c>
      <c r="Z51" s="68">
        <f t="shared" si="23"/>
        <v>0</v>
      </c>
      <c r="AA51" s="68">
        <f t="shared" si="23"/>
        <v>0</v>
      </c>
      <c r="AB51" s="68">
        <f t="shared" si="23"/>
        <v>0</v>
      </c>
      <c r="AC51" s="68">
        <f t="shared" si="23"/>
        <v>0</v>
      </c>
      <c r="AD51" s="68">
        <f t="shared" si="23"/>
        <v>0</v>
      </c>
      <c r="AE51" s="68">
        <f t="shared" si="23"/>
        <v>0</v>
      </c>
      <c r="AF51" s="68">
        <f t="shared" si="23"/>
        <v>0</v>
      </c>
      <c r="AG51" s="68">
        <f t="shared" si="23"/>
        <v>0</v>
      </c>
      <c r="AH51" s="68">
        <f t="shared" si="23"/>
        <v>0</v>
      </c>
      <c r="AI51" s="68">
        <f t="shared" si="23"/>
        <v>0</v>
      </c>
      <c r="AJ51" s="68">
        <f t="shared" si="23"/>
        <v>0</v>
      </c>
      <c r="AK51" s="68">
        <f t="shared" si="23"/>
        <v>0</v>
      </c>
      <c r="AL51" s="68">
        <f t="shared" si="23"/>
        <v>0</v>
      </c>
      <c r="AM51" s="68">
        <f t="shared" si="23"/>
        <v>0</v>
      </c>
      <c r="AN51" s="68">
        <f t="shared" si="23"/>
        <v>0</v>
      </c>
      <c r="AO51" s="68">
        <f t="shared" si="23"/>
        <v>0</v>
      </c>
      <c r="AP51" s="68">
        <f t="shared" si="23"/>
        <v>0</v>
      </c>
      <c r="AQ51" s="68">
        <f t="shared" si="23"/>
        <v>0</v>
      </c>
      <c r="AR51" s="68">
        <f t="shared" si="23"/>
        <v>0</v>
      </c>
      <c r="AS51" s="68">
        <f t="shared" si="23"/>
        <v>0</v>
      </c>
      <c r="AT51" s="68">
        <f t="shared" si="23"/>
        <v>0</v>
      </c>
      <c r="AU51" s="68">
        <f t="shared" si="23"/>
        <v>0</v>
      </c>
      <c r="AV51" s="68">
        <f t="shared" si="23"/>
        <v>0</v>
      </c>
      <c r="AW51" s="68">
        <f t="shared" si="23"/>
        <v>0</v>
      </c>
      <c r="AX51" s="68">
        <f t="shared" si="23"/>
        <v>0</v>
      </c>
      <c r="AY51" s="68">
        <f t="shared" si="23"/>
        <v>0</v>
      </c>
      <c r="AZ51" s="68">
        <f t="shared" si="23"/>
        <v>0</v>
      </c>
      <c r="BA51" s="68">
        <f t="shared" si="23"/>
        <v>0</v>
      </c>
      <c r="BB51" s="68">
        <f t="shared" si="23"/>
        <v>0</v>
      </c>
      <c r="BC51" s="69">
        <f t="shared" si="23"/>
        <v>0</v>
      </c>
    </row>
    <row r="52" spans="1:55" s="3" customFormat="1" ht="15" customHeight="1" x14ac:dyDescent="0.2">
      <c r="A52" s="353"/>
      <c r="B52" s="142"/>
      <c r="C52" s="70"/>
      <c r="D52" s="72" t="s">
        <v>37</v>
      </c>
      <c r="E52" s="58"/>
      <c r="F52" s="58" t="s">
        <v>211</v>
      </c>
      <c r="G52" s="59" t="s">
        <v>29</v>
      </c>
      <c r="H52" s="60">
        <v>2023</v>
      </c>
      <c r="I52" s="61" t="s">
        <v>33</v>
      </c>
      <c r="J52" s="62">
        <v>20</v>
      </c>
      <c r="K52" s="63">
        <f t="shared" si="21"/>
        <v>2043</v>
      </c>
      <c r="L52" s="64">
        <f>K52</f>
        <v>2043</v>
      </c>
      <c r="M52" s="64"/>
      <c r="N52" s="66">
        <v>15125</v>
      </c>
      <c r="O52" s="91" t="s">
        <v>38</v>
      </c>
      <c r="P52" s="67">
        <f t="shared" si="2"/>
        <v>0</v>
      </c>
      <c r="Q52" s="68">
        <f t="shared" si="23"/>
        <v>0</v>
      </c>
      <c r="R52" s="68">
        <f t="shared" si="23"/>
        <v>0</v>
      </c>
      <c r="S52" s="68">
        <f t="shared" si="23"/>
        <v>0</v>
      </c>
      <c r="T52" s="68">
        <f t="shared" si="23"/>
        <v>0</v>
      </c>
      <c r="U52" s="68">
        <f t="shared" si="23"/>
        <v>0</v>
      </c>
      <c r="V52" s="68">
        <f t="shared" si="23"/>
        <v>0</v>
      </c>
      <c r="W52" s="68">
        <f t="shared" si="23"/>
        <v>0</v>
      </c>
      <c r="X52" s="68">
        <f t="shared" si="23"/>
        <v>0</v>
      </c>
      <c r="Y52" s="68">
        <f t="shared" si="23"/>
        <v>0</v>
      </c>
      <c r="Z52" s="68">
        <f t="shared" si="23"/>
        <v>0</v>
      </c>
      <c r="AA52" s="68">
        <f t="shared" si="23"/>
        <v>0</v>
      </c>
      <c r="AB52" s="68">
        <f t="shared" si="23"/>
        <v>0</v>
      </c>
      <c r="AC52" s="68">
        <f t="shared" si="23"/>
        <v>0</v>
      </c>
      <c r="AD52" s="68">
        <f t="shared" si="23"/>
        <v>0</v>
      </c>
      <c r="AE52" s="68">
        <f t="shared" si="23"/>
        <v>0</v>
      </c>
      <c r="AF52" s="68">
        <f t="shared" si="23"/>
        <v>0</v>
      </c>
      <c r="AG52" s="68">
        <f t="shared" si="23"/>
        <v>0</v>
      </c>
      <c r="AH52" s="68">
        <f t="shared" si="23"/>
        <v>0</v>
      </c>
      <c r="AI52" s="68">
        <f t="shared" si="23"/>
        <v>0</v>
      </c>
      <c r="AJ52" s="68">
        <f t="shared" si="23"/>
        <v>0</v>
      </c>
      <c r="AK52" s="68">
        <f t="shared" si="23"/>
        <v>0</v>
      </c>
      <c r="AL52" s="68">
        <f t="shared" si="23"/>
        <v>0</v>
      </c>
      <c r="AM52" s="68">
        <f t="shared" si="23"/>
        <v>0</v>
      </c>
      <c r="AN52" s="68">
        <f t="shared" si="23"/>
        <v>0</v>
      </c>
      <c r="AO52" s="68">
        <f t="shared" si="23"/>
        <v>0</v>
      </c>
      <c r="AP52" s="68">
        <f t="shared" si="23"/>
        <v>0</v>
      </c>
      <c r="AQ52" s="68">
        <f t="shared" si="23"/>
        <v>0</v>
      </c>
      <c r="AR52" s="68">
        <f t="shared" si="23"/>
        <v>0</v>
      </c>
      <c r="AS52" s="68">
        <f t="shared" si="23"/>
        <v>0</v>
      </c>
      <c r="AT52" s="68">
        <f t="shared" si="23"/>
        <v>0</v>
      </c>
      <c r="AU52" s="68">
        <f t="shared" si="23"/>
        <v>0</v>
      </c>
      <c r="AV52" s="68">
        <f t="shared" si="23"/>
        <v>0</v>
      </c>
      <c r="AW52" s="68">
        <f t="shared" si="23"/>
        <v>0</v>
      </c>
      <c r="AX52" s="68">
        <f t="shared" si="23"/>
        <v>0</v>
      </c>
      <c r="AY52" s="68">
        <f t="shared" si="23"/>
        <v>0</v>
      </c>
      <c r="AZ52" s="68">
        <f t="shared" si="23"/>
        <v>0</v>
      </c>
      <c r="BA52" s="68">
        <f t="shared" si="23"/>
        <v>0</v>
      </c>
      <c r="BB52" s="68">
        <f t="shared" si="23"/>
        <v>0</v>
      </c>
      <c r="BC52" s="69">
        <f t="shared" si="23"/>
        <v>0</v>
      </c>
    </row>
    <row r="53" spans="1:55" s="3" customFormat="1" ht="15" customHeight="1" x14ac:dyDescent="0.2">
      <c r="A53" s="353"/>
      <c r="B53" s="142"/>
      <c r="C53" s="70"/>
      <c r="D53" s="72" t="s">
        <v>58</v>
      </c>
      <c r="E53" s="58" t="s">
        <v>7</v>
      </c>
      <c r="F53" s="58" t="s">
        <v>211</v>
      </c>
      <c r="G53" s="59" t="s">
        <v>6</v>
      </c>
      <c r="H53" s="60">
        <v>2023</v>
      </c>
      <c r="I53" s="61" t="s">
        <v>33</v>
      </c>
      <c r="J53" s="62">
        <v>20</v>
      </c>
      <c r="K53" s="63">
        <f t="shared" si="21"/>
        <v>2043</v>
      </c>
      <c r="L53" s="64">
        <f t="shared" ref="L53" si="24">K53</f>
        <v>2043</v>
      </c>
      <c r="M53" s="64">
        <v>50</v>
      </c>
      <c r="N53" s="66">
        <v>0</v>
      </c>
      <c r="O53" s="91" t="s">
        <v>38</v>
      </c>
      <c r="P53" s="67">
        <f t="shared" si="2"/>
        <v>0</v>
      </c>
      <c r="Q53" s="68">
        <f t="shared" si="23"/>
        <v>0</v>
      </c>
      <c r="R53" s="68">
        <f t="shared" si="23"/>
        <v>0</v>
      </c>
      <c r="S53" s="68">
        <f t="shared" si="23"/>
        <v>0</v>
      </c>
      <c r="T53" s="68">
        <f t="shared" si="23"/>
        <v>0</v>
      </c>
      <c r="U53" s="68">
        <f t="shared" si="23"/>
        <v>0</v>
      </c>
      <c r="V53" s="68">
        <f t="shared" si="23"/>
        <v>0</v>
      </c>
      <c r="W53" s="68">
        <f t="shared" si="23"/>
        <v>0</v>
      </c>
      <c r="X53" s="68">
        <f t="shared" si="23"/>
        <v>0</v>
      </c>
      <c r="Y53" s="68">
        <f t="shared" si="23"/>
        <v>0</v>
      </c>
      <c r="Z53" s="68">
        <f t="shared" si="23"/>
        <v>0</v>
      </c>
      <c r="AA53" s="68">
        <f t="shared" si="23"/>
        <v>0</v>
      </c>
      <c r="AB53" s="68">
        <f t="shared" si="23"/>
        <v>0</v>
      </c>
      <c r="AC53" s="68">
        <f t="shared" si="23"/>
        <v>0</v>
      </c>
      <c r="AD53" s="68">
        <f t="shared" si="23"/>
        <v>0</v>
      </c>
      <c r="AE53" s="68">
        <f t="shared" si="23"/>
        <v>0</v>
      </c>
      <c r="AF53" s="68">
        <f t="shared" si="23"/>
        <v>0</v>
      </c>
      <c r="AG53" s="68">
        <f t="shared" si="23"/>
        <v>0</v>
      </c>
      <c r="AH53" s="68">
        <f t="shared" si="23"/>
        <v>0</v>
      </c>
      <c r="AI53" s="68">
        <f t="shared" si="23"/>
        <v>0</v>
      </c>
      <c r="AJ53" s="68">
        <f t="shared" si="23"/>
        <v>0</v>
      </c>
      <c r="AK53" s="68">
        <f t="shared" si="23"/>
        <v>0</v>
      </c>
      <c r="AL53" s="68">
        <f t="shared" si="23"/>
        <v>0</v>
      </c>
      <c r="AM53" s="68">
        <f t="shared" si="23"/>
        <v>0</v>
      </c>
      <c r="AN53" s="68">
        <f t="shared" si="23"/>
        <v>0</v>
      </c>
      <c r="AO53" s="68">
        <f t="shared" si="23"/>
        <v>0</v>
      </c>
      <c r="AP53" s="68">
        <f t="shared" si="23"/>
        <v>0</v>
      </c>
      <c r="AQ53" s="68">
        <f t="shared" si="23"/>
        <v>0</v>
      </c>
      <c r="AR53" s="68">
        <f t="shared" si="23"/>
        <v>0</v>
      </c>
      <c r="AS53" s="68">
        <f t="shared" si="23"/>
        <v>0</v>
      </c>
      <c r="AT53" s="68">
        <f t="shared" si="23"/>
        <v>0</v>
      </c>
      <c r="AU53" s="68">
        <f t="shared" si="23"/>
        <v>0</v>
      </c>
      <c r="AV53" s="68">
        <f t="shared" si="23"/>
        <v>0</v>
      </c>
      <c r="AW53" s="68">
        <f t="shared" si="23"/>
        <v>0</v>
      </c>
      <c r="AX53" s="68">
        <f t="shared" si="23"/>
        <v>0</v>
      </c>
      <c r="AY53" s="68">
        <f t="shared" si="23"/>
        <v>0</v>
      </c>
      <c r="AZ53" s="68">
        <f t="shared" si="23"/>
        <v>0</v>
      </c>
      <c r="BA53" s="68">
        <f t="shared" si="23"/>
        <v>0</v>
      </c>
      <c r="BB53" s="68">
        <f t="shared" si="23"/>
        <v>0</v>
      </c>
      <c r="BC53" s="69">
        <f t="shared" si="23"/>
        <v>0</v>
      </c>
    </row>
    <row r="54" spans="1:55" s="3" customFormat="1" ht="15" customHeight="1" x14ac:dyDescent="0.2">
      <c r="A54" s="353"/>
      <c r="B54" s="142"/>
      <c r="C54" s="70"/>
      <c r="D54" s="72" t="s">
        <v>57</v>
      </c>
      <c r="E54" s="58"/>
      <c r="F54" s="58" t="s">
        <v>166</v>
      </c>
      <c r="G54" s="59" t="s">
        <v>29</v>
      </c>
      <c r="H54" s="60"/>
      <c r="I54" s="61" t="s">
        <v>33</v>
      </c>
      <c r="J54" s="62">
        <v>20</v>
      </c>
      <c r="K54" s="63">
        <f t="shared" si="21"/>
        <v>20</v>
      </c>
      <c r="L54" s="64">
        <v>2027</v>
      </c>
      <c r="M54" s="64">
        <v>75</v>
      </c>
      <c r="N54" s="66">
        <v>12342</v>
      </c>
      <c r="O54" s="91" t="s">
        <v>38</v>
      </c>
      <c r="P54" s="67">
        <f t="shared" si="2"/>
        <v>0</v>
      </c>
      <c r="Q54" s="68">
        <f t="shared" si="23"/>
        <v>0</v>
      </c>
      <c r="R54" s="68">
        <f t="shared" si="23"/>
        <v>0</v>
      </c>
      <c r="S54" s="68">
        <f t="shared" si="23"/>
        <v>0</v>
      </c>
      <c r="T54" s="68">
        <f t="shared" si="23"/>
        <v>12342</v>
      </c>
      <c r="U54" s="68">
        <f t="shared" si="23"/>
        <v>0</v>
      </c>
      <c r="V54" s="68">
        <f t="shared" si="23"/>
        <v>0</v>
      </c>
      <c r="W54" s="68">
        <f t="shared" si="23"/>
        <v>0</v>
      </c>
      <c r="X54" s="68">
        <f t="shared" si="23"/>
        <v>0</v>
      </c>
      <c r="Y54" s="68">
        <f t="shared" si="23"/>
        <v>0</v>
      </c>
      <c r="Z54" s="68">
        <f t="shared" si="23"/>
        <v>0</v>
      </c>
      <c r="AA54" s="68">
        <f t="shared" si="23"/>
        <v>0</v>
      </c>
      <c r="AB54" s="68">
        <f t="shared" si="23"/>
        <v>0</v>
      </c>
      <c r="AC54" s="68">
        <f t="shared" si="23"/>
        <v>0</v>
      </c>
      <c r="AD54" s="68">
        <f t="shared" si="23"/>
        <v>0</v>
      </c>
      <c r="AE54" s="68">
        <f t="shared" si="23"/>
        <v>0</v>
      </c>
      <c r="AF54" s="68">
        <f t="shared" si="23"/>
        <v>0</v>
      </c>
      <c r="AG54" s="68">
        <f t="shared" si="23"/>
        <v>0</v>
      </c>
      <c r="AH54" s="68">
        <f t="shared" si="23"/>
        <v>0</v>
      </c>
      <c r="AI54" s="68">
        <f t="shared" si="23"/>
        <v>0</v>
      </c>
      <c r="AJ54" s="68">
        <f t="shared" si="23"/>
        <v>0</v>
      </c>
      <c r="AK54" s="68">
        <f t="shared" si="23"/>
        <v>0</v>
      </c>
      <c r="AL54" s="68">
        <f t="shared" si="23"/>
        <v>0</v>
      </c>
      <c r="AM54" s="68">
        <f t="shared" si="23"/>
        <v>0</v>
      </c>
      <c r="AN54" s="68">
        <f t="shared" si="23"/>
        <v>12342</v>
      </c>
      <c r="AO54" s="68">
        <f t="shared" si="23"/>
        <v>0</v>
      </c>
      <c r="AP54" s="68">
        <f t="shared" si="23"/>
        <v>0</v>
      </c>
      <c r="AQ54" s="68">
        <f t="shared" si="23"/>
        <v>0</v>
      </c>
      <c r="AR54" s="68">
        <f t="shared" si="23"/>
        <v>0</v>
      </c>
      <c r="AS54" s="68">
        <f t="shared" si="23"/>
        <v>0</v>
      </c>
      <c r="AT54" s="68">
        <f t="shared" si="23"/>
        <v>0</v>
      </c>
      <c r="AU54" s="68">
        <f t="shared" si="23"/>
        <v>0</v>
      </c>
      <c r="AV54" s="68">
        <f t="shared" si="23"/>
        <v>0</v>
      </c>
      <c r="AW54" s="68">
        <f t="shared" si="23"/>
        <v>0</v>
      </c>
      <c r="AX54" s="68">
        <f t="shared" si="23"/>
        <v>0</v>
      </c>
      <c r="AY54" s="68">
        <f t="shared" si="23"/>
        <v>0</v>
      </c>
      <c r="AZ54" s="68">
        <f t="shared" si="23"/>
        <v>0</v>
      </c>
      <c r="BA54" s="68">
        <f t="shared" si="23"/>
        <v>0</v>
      </c>
      <c r="BB54" s="68">
        <f t="shared" si="23"/>
        <v>0</v>
      </c>
      <c r="BC54" s="69">
        <f t="shared" si="23"/>
        <v>0</v>
      </c>
    </row>
    <row r="55" spans="1:55" s="3" customFormat="1" ht="15" customHeight="1" x14ac:dyDescent="0.2">
      <c r="A55" s="353"/>
      <c r="B55" s="142"/>
      <c r="C55" s="70"/>
      <c r="D55" s="73" t="s">
        <v>40</v>
      </c>
      <c r="E55" s="74"/>
      <c r="F55" s="74" t="s">
        <v>166</v>
      </c>
      <c r="G55" s="59" t="s">
        <v>29</v>
      </c>
      <c r="H55" s="60"/>
      <c r="I55" s="61" t="s">
        <v>33</v>
      </c>
      <c r="J55" s="62">
        <v>5</v>
      </c>
      <c r="K55" s="63">
        <f t="shared" si="21"/>
        <v>5</v>
      </c>
      <c r="L55" s="64">
        <v>2027</v>
      </c>
      <c r="M55" s="64">
        <f>M54*5</f>
        <v>375</v>
      </c>
      <c r="N55" s="66">
        <v>2057</v>
      </c>
      <c r="O55" s="91" t="s">
        <v>31</v>
      </c>
      <c r="P55" s="67">
        <f t="shared" si="2"/>
        <v>0</v>
      </c>
      <c r="Q55" s="68">
        <f t="shared" si="23"/>
        <v>0</v>
      </c>
      <c r="R55" s="68">
        <f t="shared" si="23"/>
        <v>0</v>
      </c>
      <c r="S55" s="68">
        <f t="shared" si="23"/>
        <v>0</v>
      </c>
      <c r="T55" s="68">
        <f t="shared" si="23"/>
        <v>2057</v>
      </c>
      <c r="U55" s="68">
        <f t="shared" si="23"/>
        <v>0</v>
      </c>
      <c r="V55" s="68">
        <f t="shared" si="23"/>
        <v>0</v>
      </c>
      <c r="W55" s="68">
        <f t="shared" si="23"/>
        <v>0</v>
      </c>
      <c r="X55" s="68">
        <f t="shared" si="23"/>
        <v>0</v>
      </c>
      <c r="Y55" s="68">
        <f t="shared" si="23"/>
        <v>2057</v>
      </c>
      <c r="Z55" s="68">
        <f t="shared" si="23"/>
        <v>0</v>
      </c>
      <c r="AA55" s="68">
        <f t="shared" si="23"/>
        <v>0</v>
      </c>
      <c r="AB55" s="68">
        <f t="shared" si="23"/>
        <v>0</v>
      </c>
      <c r="AC55" s="68">
        <f t="shared" si="23"/>
        <v>0</v>
      </c>
      <c r="AD55" s="68">
        <f t="shared" si="23"/>
        <v>2057</v>
      </c>
      <c r="AE55" s="68">
        <f t="shared" si="23"/>
        <v>0</v>
      </c>
      <c r="AF55" s="68">
        <f t="shared" si="23"/>
        <v>0</v>
      </c>
      <c r="AG55" s="68">
        <f t="shared" si="23"/>
        <v>0</v>
      </c>
      <c r="AH55" s="68">
        <f t="shared" si="23"/>
        <v>0</v>
      </c>
      <c r="AI55" s="68">
        <f t="shared" si="23"/>
        <v>2057</v>
      </c>
      <c r="AJ55" s="68">
        <f t="shared" si="23"/>
        <v>0</v>
      </c>
      <c r="AK55" s="68">
        <f t="shared" si="23"/>
        <v>0</v>
      </c>
      <c r="AL55" s="68">
        <f t="shared" si="23"/>
        <v>0</v>
      </c>
      <c r="AM55" s="68">
        <f t="shared" si="23"/>
        <v>0</v>
      </c>
      <c r="AN55" s="68">
        <f t="shared" si="23"/>
        <v>2057</v>
      </c>
      <c r="AO55" s="68">
        <f t="shared" si="23"/>
        <v>0</v>
      </c>
      <c r="AP55" s="68">
        <f t="shared" si="23"/>
        <v>0</v>
      </c>
      <c r="AQ55" s="68">
        <f t="shared" si="23"/>
        <v>0</v>
      </c>
      <c r="AR55" s="68">
        <f t="shared" si="23"/>
        <v>0</v>
      </c>
      <c r="AS55" s="68">
        <f t="shared" si="23"/>
        <v>2057</v>
      </c>
      <c r="AT55" s="68">
        <f t="shared" si="23"/>
        <v>0</v>
      </c>
      <c r="AU55" s="68">
        <f t="shared" si="23"/>
        <v>0</v>
      </c>
      <c r="AV55" s="68">
        <f t="shared" si="23"/>
        <v>0</v>
      </c>
      <c r="AW55" s="68">
        <f t="shared" si="23"/>
        <v>0</v>
      </c>
      <c r="AX55" s="68">
        <f t="shared" si="23"/>
        <v>2057</v>
      </c>
      <c r="AY55" s="68">
        <f t="shared" si="23"/>
        <v>0</v>
      </c>
      <c r="AZ55" s="68">
        <f t="shared" si="23"/>
        <v>0</v>
      </c>
      <c r="BA55" s="68">
        <f t="shared" si="23"/>
        <v>0</v>
      </c>
      <c r="BB55" s="68">
        <f t="shared" si="23"/>
        <v>0</v>
      </c>
      <c r="BC55" s="69">
        <f t="shared" si="23"/>
        <v>2057</v>
      </c>
    </row>
    <row r="56" spans="1:55" s="3" customFormat="1" ht="15" customHeight="1" x14ac:dyDescent="0.2">
      <c r="A56" s="353"/>
      <c r="B56" s="142"/>
      <c r="C56" s="70"/>
      <c r="D56" s="72" t="s">
        <v>41</v>
      </c>
      <c r="E56" s="58"/>
      <c r="F56" s="58" t="s">
        <v>166</v>
      </c>
      <c r="G56" s="59" t="s">
        <v>6</v>
      </c>
      <c r="H56" s="60">
        <v>2017</v>
      </c>
      <c r="I56" s="61" t="s">
        <v>33</v>
      </c>
      <c r="J56" s="62">
        <v>30</v>
      </c>
      <c r="K56" s="63">
        <f t="shared" si="21"/>
        <v>2047</v>
      </c>
      <c r="L56" s="64">
        <f t="shared" ref="L56:L58" si="25">K56</f>
        <v>2047</v>
      </c>
      <c r="M56" s="64">
        <v>1</v>
      </c>
      <c r="N56" s="66">
        <v>20570</v>
      </c>
      <c r="O56" s="91" t="s">
        <v>32</v>
      </c>
      <c r="P56" s="67">
        <f t="shared" si="2"/>
        <v>0</v>
      </c>
      <c r="Q56" s="68">
        <f t="shared" si="23"/>
        <v>0</v>
      </c>
      <c r="R56" s="68">
        <f t="shared" si="23"/>
        <v>0</v>
      </c>
      <c r="S56" s="68">
        <f t="shared" si="23"/>
        <v>0</v>
      </c>
      <c r="T56" s="68">
        <f t="shared" si="23"/>
        <v>0</v>
      </c>
      <c r="U56" s="68">
        <f t="shared" si="23"/>
        <v>0</v>
      </c>
      <c r="V56" s="68">
        <f t="shared" si="23"/>
        <v>0</v>
      </c>
      <c r="W56" s="68">
        <f t="shared" si="23"/>
        <v>0</v>
      </c>
      <c r="X56" s="68">
        <f t="shared" si="23"/>
        <v>0</v>
      </c>
      <c r="Y56" s="68">
        <f t="shared" si="23"/>
        <v>0</v>
      </c>
      <c r="Z56" s="68">
        <f t="shared" si="23"/>
        <v>0</v>
      </c>
      <c r="AA56" s="68">
        <f t="shared" si="23"/>
        <v>0</v>
      </c>
      <c r="AB56" s="68">
        <f t="shared" si="23"/>
        <v>0</v>
      </c>
      <c r="AC56" s="68">
        <f t="shared" si="23"/>
        <v>0</v>
      </c>
      <c r="AD56" s="68">
        <f t="shared" si="23"/>
        <v>0</v>
      </c>
      <c r="AE56" s="68">
        <f t="shared" si="23"/>
        <v>0</v>
      </c>
      <c r="AF56" s="68">
        <f t="shared" si="23"/>
        <v>0</v>
      </c>
      <c r="AG56" s="68">
        <f t="shared" si="23"/>
        <v>0</v>
      </c>
      <c r="AH56" s="68">
        <f t="shared" si="23"/>
        <v>0</v>
      </c>
      <c r="AI56" s="68">
        <f t="shared" si="23"/>
        <v>0</v>
      </c>
      <c r="AJ56" s="68">
        <f t="shared" si="23"/>
        <v>0</v>
      </c>
      <c r="AK56" s="68">
        <f t="shared" si="23"/>
        <v>0</v>
      </c>
      <c r="AL56" s="68">
        <f t="shared" si="23"/>
        <v>0</v>
      </c>
      <c r="AM56" s="68">
        <f t="shared" si="23"/>
        <v>0</v>
      </c>
      <c r="AN56" s="68">
        <f t="shared" si="23"/>
        <v>20570</v>
      </c>
      <c r="AO56" s="68">
        <f t="shared" si="23"/>
        <v>0</v>
      </c>
      <c r="AP56" s="68">
        <f t="shared" si="23"/>
        <v>0</v>
      </c>
      <c r="AQ56" s="68">
        <f t="shared" si="23"/>
        <v>0</v>
      </c>
      <c r="AR56" s="68">
        <f t="shared" si="23"/>
        <v>0</v>
      </c>
      <c r="AS56" s="68">
        <f t="shared" si="23"/>
        <v>0</v>
      </c>
      <c r="AT56" s="68">
        <f t="shared" si="23"/>
        <v>0</v>
      </c>
      <c r="AU56" s="68">
        <f t="shared" si="23"/>
        <v>0</v>
      </c>
      <c r="AV56" s="68">
        <f t="shared" si="23"/>
        <v>0</v>
      </c>
      <c r="AW56" s="68">
        <f t="shared" si="23"/>
        <v>0</v>
      </c>
      <c r="AX56" s="68">
        <f t="shared" si="23"/>
        <v>0</v>
      </c>
      <c r="AY56" s="68">
        <f t="shared" si="23"/>
        <v>0</v>
      </c>
      <c r="AZ56" s="68">
        <f t="shared" si="23"/>
        <v>0</v>
      </c>
      <c r="BA56" s="68">
        <f t="shared" si="23"/>
        <v>0</v>
      </c>
      <c r="BB56" s="68">
        <f t="shared" si="23"/>
        <v>0</v>
      </c>
      <c r="BC56" s="69">
        <f t="shared" si="23"/>
        <v>0</v>
      </c>
    </row>
    <row r="57" spans="1:55" s="3" customFormat="1" ht="15" customHeight="1" x14ac:dyDescent="0.2">
      <c r="A57" s="353"/>
      <c r="B57" s="142"/>
      <c r="C57" s="70"/>
      <c r="D57" s="86" t="s">
        <v>42</v>
      </c>
      <c r="E57" s="59"/>
      <c r="F57" s="59" t="s">
        <v>166</v>
      </c>
      <c r="G57" s="59" t="s">
        <v>6</v>
      </c>
      <c r="H57" s="60">
        <v>2018</v>
      </c>
      <c r="I57" s="61" t="s">
        <v>33</v>
      </c>
      <c r="J57" s="62">
        <v>30</v>
      </c>
      <c r="K57" s="63">
        <f t="shared" si="21"/>
        <v>2048</v>
      </c>
      <c r="L57" s="64">
        <f t="shared" si="25"/>
        <v>2048</v>
      </c>
      <c r="M57" s="64">
        <v>6</v>
      </c>
      <c r="N57" s="66">
        <v>20933</v>
      </c>
      <c r="O57" s="91" t="s">
        <v>32</v>
      </c>
      <c r="P57" s="67">
        <f t="shared" si="2"/>
        <v>0</v>
      </c>
      <c r="Q57" s="68">
        <f t="shared" si="23"/>
        <v>0</v>
      </c>
      <c r="R57" s="68">
        <f t="shared" si="23"/>
        <v>0</v>
      </c>
      <c r="S57" s="68">
        <f t="shared" si="23"/>
        <v>0</v>
      </c>
      <c r="T57" s="68">
        <f t="shared" si="23"/>
        <v>0</v>
      </c>
      <c r="U57" s="68">
        <f t="shared" si="23"/>
        <v>0</v>
      </c>
      <c r="V57" s="68">
        <f t="shared" si="23"/>
        <v>0</v>
      </c>
      <c r="W57" s="68">
        <f t="shared" si="23"/>
        <v>0</v>
      </c>
      <c r="X57" s="68">
        <f t="shared" si="23"/>
        <v>0</v>
      </c>
      <c r="Y57" s="68">
        <f t="shared" si="23"/>
        <v>0</v>
      </c>
      <c r="Z57" s="68">
        <f t="shared" si="23"/>
        <v>0</v>
      </c>
      <c r="AA57" s="68">
        <f t="shared" si="23"/>
        <v>0</v>
      </c>
      <c r="AB57" s="68">
        <f t="shared" si="23"/>
        <v>0</v>
      </c>
      <c r="AC57" s="68">
        <f t="shared" si="23"/>
        <v>0</v>
      </c>
      <c r="AD57" s="68">
        <f t="shared" si="23"/>
        <v>0</v>
      </c>
      <c r="AE57" s="68">
        <f t="shared" si="23"/>
        <v>0</v>
      </c>
      <c r="AF57" s="68">
        <f t="shared" si="23"/>
        <v>0</v>
      </c>
      <c r="AG57" s="68">
        <f t="shared" si="23"/>
        <v>0</v>
      </c>
      <c r="AH57" s="68">
        <f t="shared" si="23"/>
        <v>0</v>
      </c>
      <c r="AI57" s="68">
        <f t="shared" si="23"/>
        <v>0</v>
      </c>
      <c r="AJ57" s="68">
        <f t="shared" si="23"/>
        <v>0</v>
      </c>
      <c r="AK57" s="68">
        <f t="shared" si="23"/>
        <v>0</v>
      </c>
      <c r="AL57" s="68">
        <f t="shared" si="23"/>
        <v>0</v>
      </c>
      <c r="AM57" s="68">
        <f t="shared" si="23"/>
        <v>0</v>
      </c>
      <c r="AN57" s="68">
        <f t="shared" si="23"/>
        <v>0</v>
      </c>
      <c r="AO57" s="68">
        <f t="shared" ref="Q57:BC66" si="26">IF($F57="Ja",IF(MOD($L57-AO$10,$J57)=0,$N57,0),0)</f>
        <v>20933</v>
      </c>
      <c r="AP57" s="68">
        <f t="shared" si="26"/>
        <v>0</v>
      </c>
      <c r="AQ57" s="68">
        <f t="shared" si="26"/>
        <v>0</v>
      </c>
      <c r="AR57" s="68">
        <f t="shared" si="26"/>
        <v>0</v>
      </c>
      <c r="AS57" s="68">
        <f t="shared" si="26"/>
        <v>0</v>
      </c>
      <c r="AT57" s="68">
        <f t="shared" si="26"/>
        <v>0</v>
      </c>
      <c r="AU57" s="68">
        <f t="shared" si="26"/>
        <v>0</v>
      </c>
      <c r="AV57" s="68">
        <f t="shared" si="26"/>
        <v>0</v>
      </c>
      <c r="AW57" s="68">
        <f t="shared" si="26"/>
        <v>0</v>
      </c>
      <c r="AX57" s="68">
        <f t="shared" si="26"/>
        <v>0</v>
      </c>
      <c r="AY57" s="68">
        <f t="shared" si="26"/>
        <v>0</v>
      </c>
      <c r="AZ57" s="68">
        <f t="shared" si="26"/>
        <v>0</v>
      </c>
      <c r="BA57" s="68">
        <f t="shared" si="26"/>
        <v>0</v>
      </c>
      <c r="BB57" s="68">
        <f t="shared" si="26"/>
        <v>0</v>
      </c>
      <c r="BC57" s="69">
        <f t="shared" si="26"/>
        <v>0</v>
      </c>
    </row>
    <row r="58" spans="1:55" s="3" customFormat="1" ht="15" customHeight="1" x14ac:dyDescent="0.2">
      <c r="A58" s="353"/>
      <c r="B58" s="145"/>
      <c r="C58" s="75"/>
      <c r="D58" s="87" t="s">
        <v>43</v>
      </c>
      <c r="E58" s="76"/>
      <c r="F58" s="76" t="s">
        <v>166</v>
      </c>
      <c r="G58" s="76" t="s">
        <v>6</v>
      </c>
      <c r="H58" s="77">
        <v>2018</v>
      </c>
      <c r="I58" s="78" t="s">
        <v>33</v>
      </c>
      <c r="J58" s="79">
        <v>20</v>
      </c>
      <c r="K58" s="80">
        <f t="shared" si="21"/>
        <v>2038</v>
      </c>
      <c r="L58" s="81">
        <f t="shared" si="25"/>
        <v>2038</v>
      </c>
      <c r="M58" s="81">
        <v>6</v>
      </c>
      <c r="N58" s="82">
        <v>22264</v>
      </c>
      <c r="O58" s="129" t="s">
        <v>32</v>
      </c>
      <c r="P58" s="83">
        <f t="shared" si="2"/>
        <v>0</v>
      </c>
      <c r="Q58" s="84">
        <f t="shared" si="26"/>
        <v>0</v>
      </c>
      <c r="R58" s="84">
        <f t="shared" si="26"/>
        <v>0</v>
      </c>
      <c r="S58" s="84">
        <f t="shared" si="26"/>
        <v>0</v>
      </c>
      <c r="T58" s="84">
        <f t="shared" si="26"/>
        <v>0</v>
      </c>
      <c r="U58" s="84">
        <f t="shared" si="26"/>
        <v>0</v>
      </c>
      <c r="V58" s="84">
        <f t="shared" si="26"/>
        <v>0</v>
      </c>
      <c r="W58" s="84">
        <f t="shared" si="26"/>
        <v>0</v>
      </c>
      <c r="X58" s="84">
        <f t="shared" si="26"/>
        <v>0</v>
      </c>
      <c r="Y58" s="84">
        <f t="shared" si="26"/>
        <v>0</v>
      </c>
      <c r="Z58" s="84">
        <f t="shared" si="26"/>
        <v>0</v>
      </c>
      <c r="AA58" s="84">
        <f t="shared" si="26"/>
        <v>0</v>
      </c>
      <c r="AB58" s="84">
        <f t="shared" si="26"/>
        <v>0</v>
      </c>
      <c r="AC58" s="84">
        <f t="shared" si="26"/>
        <v>0</v>
      </c>
      <c r="AD58" s="84">
        <f t="shared" si="26"/>
        <v>0</v>
      </c>
      <c r="AE58" s="84">
        <f t="shared" si="26"/>
        <v>22264</v>
      </c>
      <c r="AF58" s="84">
        <f t="shared" si="26"/>
        <v>0</v>
      </c>
      <c r="AG58" s="84">
        <f t="shared" si="26"/>
        <v>0</v>
      </c>
      <c r="AH58" s="84">
        <f t="shared" si="26"/>
        <v>0</v>
      </c>
      <c r="AI58" s="84">
        <f t="shared" si="26"/>
        <v>0</v>
      </c>
      <c r="AJ58" s="84">
        <f t="shared" si="26"/>
        <v>0</v>
      </c>
      <c r="AK58" s="84">
        <f t="shared" si="26"/>
        <v>0</v>
      </c>
      <c r="AL58" s="84">
        <f t="shared" si="26"/>
        <v>0</v>
      </c>
      <c r="AM58" s="84">
        <f t="shared" si="26"/>
        <v>0</v>
      </c>
      <c r="AN58" s="84">
        <f t="shared" si="26"/>
        <v>0</v>
      </c>
      <c r="AO58" s="84">
        <f t="shared" si="26"/>
        <v>0</v>
      </c>
      <c r="AP58" s="84">
        <f t="shared" si="26"/>
        <v>0</v>
      </c>
      <c r="AQ58" s="84">
        <f t="shared" si="26"/>
        <v>0</v>
      </c>
      <c r="AR58" s="84">
        <f t="shared" si="26"/>
        <v>0</v>
      </c>
      <c r="AS58" s="84">
        <f t="shared" si="26"/>
        <v>0</v>
      </c>
      <c r="AT58" s="84">
        <f t="shared" si="26"/>
        <v>0</v>
      </c>
      <c r="AU58" s="84">
        <f t="shared" si="26"/>
        <v>0</v>
      </c>
      <c r="AV58" s="84">
        <f t="shared" si="26"/>
        <v>0</v>
      </c>
      <c r="AW58" s="84">
        <f t="shared" si="26"/>
        <v>0</v>
      </c>
      <c r="AX58" s="84">
        <f t="shared" si="26"/>
        <v>0</v>
      </c>
      <c r="AY58" s="84">
        <f t="shared" si="26"/>
        <v>22264</v>
      </c>
      <c r="AZ58" s="84">
        <f t="shared" si="26"/>
        <v>0</v>
      </c>
      <c r="BA58" s="84">
        <f t="shared" si="26"/>
        <v>0</v>
      </c>
      <c r="BB58" s="84">
        <f t="shared" si="26"/>
        <v>0</v>
      </c>
      <c r="BC58" s="85">
        <f t="shared" si="26"/>
        <v>0</v>
      </c>
    </row>
    <row r="59" spans="1:55" s="3" customFormat="1" ht="15" customHeight="1" x14ac:dyDescent="0.2">
      <c r="A59" s="353"/>
      <c r="B59" s="146"/>
      <c r="C59" s="147"/>
      <c r="D59" s="148"/>
      <c r="E59" s="149"/>
      <c r="F59" s="149"/>
      <c r="G59" s="150"/>
      <c r="H59" s="151"/>
      <c r="I59" s="152"/>
      <c r="J59" s="153"/>
      <c r="K59" s="154"/>
      <c r="L59" s="155"/>
      <c r="M59" s="155"/>
      <c r="N59" s="156"/>
      <c r="O59" s="157"/>
      <c r="P59" s="158">
        <f>SUM(P46:P58)</f>
        <v>0</v>
      </c>
      <c r="Q59" s="159">
        <f t="shared" ref="Q59:BC59" si="27">SUM(Q46:Q58)</f>
        <v>0</v>
      </c>
      <c r="R59" s="159">
        <f t="shared" si="27"/>
        <v>5808</v>
      </c>
      <c r="S59" s="159">
        <f t="shared" si="27"/>
        <v>0</v>
      </c>
      <c r="T59" s="159">
        <f t="shared" si="27"/>
        <v>55418</v>
      </c>
      <c r="U59" s="159">
        <f t="shared" si="27"/>
        <v>484</v>
      </c>
      <c r="V59" s="159">
        <f t="shared" si="27"/>
        <v>0</v>
      </c>
      <c r="W59" s="159">
        <f t="shared" si="27"/>
        <v>605</v>
      </c>
      <c r="X59" s="159">
        <f t="shared" si="27"/>
        <v>484</v>
      </c>
      <c r="Y59" s="159">
        <f t="shared" si="27"/>
        <v>2057</v>
      </c>
      <c r="Z59" s="159">
        <f t="shared" si="27"/>
        <v>0</v>
      </c>
      <c r="AA59" s="159">
        <f t="shared" si="27"/>
        <v>484</v>
      </c>
      <c r="AB59" s="159">
        <f t="shared" si="27"/>
        <v>605</v>
      </c>
      <c r="AC59" s="159">
        <f t="shared" si="27"/>
        <v>0</v>
      </c>
      <c r="AD59" s="159">
        <f t="shared" si="27"/>
        <v>2541</v>
      </c>
      <c r="AE59" s="159">
        <f t="shared" si="27"/>
        <v>22264</v>
      </c>
      <c r="AF59" s="159">
        <f t="shared" si="27"/>
        <v>0</v>
      </c>
      <c r="AG59" s="159">
        <f t="shared" si="27"/>
        <v>5808</v>
      </c>
      <c r="AH59" s="159">
        <f t="shared" si="27"/>
        <v>0</v>
      </c>
      <c r="AI59" s="159">
        <f t="shared" si="27"/>
        <v>43076</v>
      </c>
      <c r="AJ59" s="159">
        <f t="shared" si="27"/>
        <v>484</v>
      </c>
      <c r="AK59" s="159">
        <f t="shared" si="27"/>
        <v>0</v>
      </c>
      <c r="AL59" s="159">
        <f t="shared" si="27"/>
        <v>605</v>
      </c>
      <c r="AM59" s="159">
        <f t="shared" si="27"/>
        <v>484</v>
      </c>
      <c r="AN59" s="159">
        <f t="shared" si="27"/>
        <v>34969</v>
      </c>
      <c r="AO59" s="159">
        <f t="shared" si="27"/>
        <v>20933</v>
      </c>
      <c r="AP59" s="159">
        <f t="shared" si="27"/>
        <v>484</v>
      </c>
      <c r="AQ59" s="159">
        <f t="shared" si="27"/>
        <v>605</v>
      </c>
      <c r="AR59" s="159">
        <f t="shared" si="27"/>
        <v>0</v>
      </c>
      <c r="AS59" s="159">
        <f t="shared" si="27"/>
        <v>2541</v>
      </c>
      <c r="AT59" s="159">
        <f t="shared" si="27"/>
        <v>0</v>
      </c>
      <c r="AU59" s="159">
        <f t="shared" si="27"/>
        <v>0</v>
      </c>
      <c r="AV59" s="159">
        <f t="shared" si="27"/>
        <v>5808</v>
      </c>
      <c r="AW59" s="159">
        <f t="shared" si="27"/>
        <v>0</v>
      </c>
      <c r="AX59" s="159">
        <f t="shared" si="27"/>
        <v>43076</v>
      </c>
      <c r="AY59" s="159">
        <f t="shared" si="27"/>
        <v>22748</v>
      </c>
      <c r="AZ59" s="159">
        <f t="shared" si="27"/>
        <v>0</v>
      </c>
      <c r="BA59" s="159">
        <f t="shared" si="27"/>
        <v>605</v>
      </c>
      <c r="BB59" s="159">
        <f t="shared" si="27"/>
        <v>484</v>
      </c>
      <c r="BC59" s="159">
        <f t="shared" si="27"/>
        <v>2057</v>
      </c>
    </row>
    <row r="60" spans="1:55" s="3" customFormat="1" ht="15.75" customHeight="1" x14ac:dyDescent="0.2">
      <c r="A60" s="353"/>
      <c r="B60" s="142"/>
      <c r="C60" s="47" t="s">
        <v>46</v>
      </c>
      <c r="D60" s="88" t="s">
        <v>47</v>
      </c>
      <c r="E60" s="89"/>
      <c r="F60" s="89" t="s">
        <v>166</v>
      </c>
      <c r="G60" s="74" t="s">
        <v>6</v>
      </c>
      <c r="H60" s="60">
        <v>2017</v>
      </c>
      <c r="I60" s="90" t="s">
        <v>33</v>
      </c>
      <c r="J60" s="62">
        <v>30</v>
      </c>
      <c r="K60" s="63">
        <f t="shared" si="21"/>
        <v>2047</v>
      </c>
      <c r="L60" s="64">
        <v>2025</v>
      </c>
      <c r="M60" s="64">
        <v>1</v>
      </c>
      <c r="N60" s="66">
        <v>7000</v>
      </c>
      <c r="O60" s="91" t="s">
        <v>32</v>
      </c>
      <c r="P60" s="67">
        <f t="shared" si="2"/>
        <v>0</v>
      </c>
      <c r="Q60" s="68">
        <f t="shared" si="26"/>
        <v>0</v>
      </c>
      <c r="R60" s="68">
        <f t="shared" si="26"/>
        <v>7000</v>
      </c>
      <c r="S60" s="68">
        <f t="shared" si="26"/>
        <v>0</v>
      </c>
      <c r="T60" s="68">
        <f t="shared" si="26"/>
        <v>0</v>
      </c>
      <c r="U60" s="68">
        <f t="shared" si="26"/>
        <v>0</v>
      </c>
      <c r="V60" s="68">
        <f t="shared" si="26"/>
        <v>0</v>
      </c>
      <c r="W60" s="68">
        <f t="shared" si="26"/>
        <v>0</v>
      </c>
      <c r="X60" s="68">
        <f t="shared" si="26"/>
        <v>0</v>
      </c>
      <c r="Y60" s="68">
        <f t="shared" si="26"/>
        <v>0</v>
      </c>
      <c r="Z60" s="68">
        <f t="shared" si="26"/>
        <v>0</v>
      </c>
      <c r="AA60" s="68">
        <f t="shared" si="26"/>
        <v>0</v>
      </c>
      <c r="AB60" s="68">
        <f t="shared" si="26"/>
        <v>0</v>
      </c>
      <c r="AC60" s="68">
        <f t="shared" si="26"/>
        <v>0</v>
      </c>
      <c r="AD60" s="68">
        <f t="shared" si="26"/>
        <v>0</v>
      </c>
      <c r="AE60" s="68">
        <f t="shared" si="26"/>
        <v>0</v>
      </c>
      <c r="AF60" s="68">
        <f t="shared" si="26"/>
        <v>0</v>
      </c>
      <c r="AG60" s="68">
        <f t="shared" si="26"/>
        <v>0</v>
      </c>
      <c r="AH60" s="68">
        <f t="shared" si="26"/>
        <v>0</v>
      </c>
      <c r="AI60" s="68">
        <f t="shared" si="26"/>
        <v>0</v>
      </c>
      <c r="AJ60" s="68">
        <f t="shared" si="26"/>
        <v>0</v>
      </c>
      <c r="AK60" s="68">
        <f t="shared" si="26"/>
        <v>0</v>
      </c>
      <c r="AL60" s="68">
        <f t="shared" si="26"/>
        <v>0</v>
      </c>
      <c r="AM60" s="68">
        <f t="shared" si="26"/>
        <v>0</v>
      </c>
      <c r="AN60" s="68">
        <f t="shared" si="26"/>
        <v>0</v>
      </c>
      <c r="AO60" s="68">
        <f t="shared" si="26"/>
        <v>0</v>
      </c>
      <c r="AP60" s="68">
        <f t="shared" si="26"/>
        <v>0</v>
      </c>
      <c r="AQ60" s="68">
        <f t="shared" si="26"/>
        <v>0</v>
      </c>
      <c r="AR60" s="68">
        <f t="shared" si="26"/>
        <v>0</v>
      </c>
      <c r="AS60" s="68">
        <f t="shared" si="26"/>
        <v>0</v>
      </c>
      <c r="AT60" s="68">
        <f t="shared" si="26"/>
        <v>0</v>
      </c>
      <c r="AU60" s="68">
        <f t="shared" si="26"/>
        <v>0</v>
      </c>
      <c r="AV60" s="68">
        <f t="shared" si="26"/>
        <v>7000</v>
      </c>
      <c r="AW60" s="68">
        <f t="shared" si="26"/>
        <v>0</v>
      </c>
      <c r="AX60" s="68">
        <f t="shared" si="26"/>
        <v>0</v>
      </c>
      <c r="AY60" s="68">
        <f t="shared" si="26"/>
        <v>0</v>
      </c>
      <c r="AZ60" s="68">
        <f t="shared" si="26"/>
        <v>0</v>
      </c>
      <c r="BA60" s="68">
        <f t="shared" si="26"/>
        <v>0</v>
      </c>
      <c r="BB60" s="68">
        <f t="shared" si="26"/>
        <v>0</v>
      </c>
      <c r="BC60" s="69">
        <f t="shared" si="26"/>
        <v>0</v>
      </c>
    </row>
    <row r="61" spans="1:55" s="3" customFormat="1" ht="15.75" customHeight="1" x14ac:dyDescent="0.2">
      <c r="A61" s="353"/>
      <c r="B61" s="92"/>
      <c r="C61" s="47"/>
      <c r="D61" s="47" t="s">
        <v>55</v>
      </c>
      <c r="E61" s="98"/>
      <c r="F61" s="98" t="s">
        <v>166</v>
      </c>
      <c r="G61" s="49" t="s">
        <v>6</v>
      </c>
      <c r="H61" s="50"/>
      <c r="I61" s="93" t="s">
        <v>33</v>
      </c>
      <c r="J61" s="62">
        <v>30</v>
      </c>
      <c r="K61" s="63"/>
      <c r="L61" s="339">
        <v>2001</v>
      </c>
      <c r="M61" s="94">
        <v>2410</v>
      </c>
      <c r="N61" s="66">
        <f>M61*58</f>
        <v>139780</v>
      </c>
      <c r="O61" s="91" t="s">
        <v>31</v>
      </c>
      <c r="P61" s="67">
        <f t="shared" si="2"/>
        <v>0</v>
      </c>
      <c r="Q61" s="68">
        <f t="shared" si="26"/>
        <v>0</v>
      </c>
      <c r="R61" s="68">
        <f t="shared" si="26"/>
        <v>0</v>
      </c>
      <c r="S61" s="68">
        <f t="shared" si="26"/>
        <v>0</v>
      </c>
      <c r="T61" s="68">
        <f t="shared" si="26"/>
        <v>0</v>
      </c>
      <c r="U61" s="68">
        <f t="shared" si="26"/>
        <v>0</v>
      </c>
      <c r="V61" s="68">
        <f t="shared" si="26"/>
        <v>0</v>
      </c>
      <c r="W61" s="68">
        <f t="shared" si="26"/>
        <v>0</v>
      </c>
      <c r="X61" s="68">
        <f t="shared" si="26"/>
        <v>139780</v>
      </c>
      <c r="Y61" s="68">
        <f t="shared" si="26"/>
        <v>0</v>
      </c>
      <c r="Z61" s="68">
        <f t="shared" si="26"/>
        <v>0</v>
      </c>
      <c r="AA61" s="68">
        <f t="shared" si="26"/>
        <v>0</v>
      </c>
      <c r="AB61" s="68">
        <f t="shared" si="26"/>
        <v>0</v>
      </c>
      <c r="AC61" s="68">
        <f t="shared" si="26"/>
        <v>0</v>
      </c>
      <c r="AD61" s="68">
        <f t="shared" si="26"/>
        <v>0</v>
      </c>
      <c r="AE61" s="68">
        <f t="shared" si="26"/>
        <v>0</v>
      </c>
      <c r="AF61" s="68">
        <f t="shared" si="26"/>
        <v>0</v>
      </c>
      <c r="AG61" s="68">
        <f t="shared" si="26"/>
        <v>0</v>
      </c>
      <c r="AH61" s="68">
        <f t="shared" si="26"/>
        <v>0</v>
      </c>
      <c r="AI61" s="68">
        <f t="shared" si="26"/>
        <v>0</v>
      </c>
      <c r="AJ61" s="68">
        <f t="shared" si="26"/>
        <v>0</v>
      </c>
      <c r="AK61" s="68">
        <f t="shared" si="26"/>
        <v>0</v>
      </c>
      <c r="AL61" s="68">
        <f t="shared" si="26"/>
        <v>0</v>
      </c>
      <c r="AM61" s="68">
        <f t="shared" si="26"/>
        <v>0</v>
      </c>
      <c r="AN61" s="68">
        <f t="shared" si="26"/>
        <v>0</v>
      </c>
      <c r="AO61" s="68">
        <f t="shared" si="26"/>
        <v>0</v>
      </c>
      <c r="AP61" s="68">
        <f t="shared" si="26"/>
        <v>0</v>
      </c>
      <c r="AQ61" s="68">
        <f t="shared" si="26"/>
        <v>0</v>
      </c>
      <c r="AR61" s="68">
        <f t="shared" si="26"/>
        <v>0</v>
      </c>
      <c r="AS61" s="68">
        <f t="shared" si="26"/>
        <v>0</v>
      </c>
      <c r="AT61" s="68">
        <f t="shared" si="26"/>
        <v>0</v>
      </c>
      <c r="AU61" s="68">
        <f t="shared" si="26"/>
        <v>0</v>
      </c>
      <c r="AV61" s="68">
        <f t="shared" si="26"/>
        <v>0</v>
      </c>
      <c r="AW61" s="68">
        <f t="shared" si="26"/>
        <v>0</v>
      </c>
      <c r="AX61" s="68">
        <f t="shared" si="26"/>
        <v>0</v>
      </c>
      <c r="AY61" s="68">
        <f t="shared" si="26"/>
        <v>0</v>
      </c>
      <c r="AZ61" s="68">
        <f t="shared" si="26"/>
        <v>0</v>
      </c>
      <c r="BA61" s="68">
        <f t="shared" si="26"/>
        <v>0</v>
      </c>
      <c r="BB61" s="68">
        <f t="shared" si="26"/>
        <v>139780</v>
      </c>
      <c r="BC61" s="69">
        <f t="shared" si="26"/>
        <v>0</v>
      </c>
    </row>
    <row r="62" spans="1:55" s="3" customFormat="1" ht="15.75" customHeight="1" x14ac:dyDescent="0.2">
      <c r="A62" s="353"/>
      <c r="B62" s="92"/>
      <c r="C62" s="47"/>
      <c r="D62" s="47" t="s">
        <v>48</v>
      </c>
      <c r="E62" s="98"/>
      <c r="F62" s="98" t="s">
        <v>166</v>
      </c>
      <c r="G62" s="49" t="s">
        <v>2</v>
      </c>
      <c r="H62" s="50">
        <v>1971</v>
      </c>
      <c r="I62" s="93" t="s">
        <v>33</v>
      </c>
      <c r="J62" s="62">
        <v>20</v>
      </c>
      <c r="K62" s="63"/>
      <c r="L62" s="64"/>
      <c r="M62" s="94">
        <f>510-M63</f>
        <v>245</v>
      </c>
      <c r="N62" s="66">
        <f>M62*87</f>
        <v>21315</v>
      </c>
      <c r="O62" s="91" t="s">
        <v>49</v>
      </c>
      <c r="P62" s="67">
        <f t="shared" si="2"/>
        <v>0</v>
      </c>
      <c r="Q62" s="68">
        <f t="shared" si="26"/>
        <v>0</v>
      </c>
      <c r="R62" s="68">
        <f t="shared" si="26"/>
        <v>0</v>
      </c>
      <c r="S62" s="68">
        <f t="shared" si="26"/>
        <v>0</v>
      </c>
      <c r="T62" s="68">
        <f t="shared" si="26"/>
        <v>0</v>
      </c>
      <c r="U62" s="68">
        <f t="shared" si="26"/>
        <v>0</v>
      </c>
      <c r="V62" s="68">
        <f t="shared" si="26"/>
        <v>0</v>
      </c>
      <c r="W62" s="68">
        <f t="shared" si="26"/>
        <v>0</v>
      </c>
      <c r="X62" s="68">
        <f t="shared" si="26"/>
        <v>0</v>
      </c>
      <c r="Y62" s="68">
        <f t="shared" si="26"/>
        <v>0</v>
      </c>
      <c r="Z62" s="68">
        <f t="shared" si="26"/>
        <v>0</v>
      </c>
      <c r="AA62" s="68">
        <f t="shared" si="26"/>
        <v>0</v>
      </c>
      <c r="AB62" s="68">
        <f t="shared" si="26"/>
        <v>0</v>
      </c>
      <c r="AC62" s="68">
        <f t="shared" si="26"/>
        <v>0</v>
      </c>
      <c r="AD62" s="68">
        <f t="shared" si="26"/>
        <v>0</v>
      </c>
      <c r="AE62" s="68">
        <f t="shared" si="26"/>
        <v>0</v>
      </c>
      <c r="AF62" s="68">
        <f t="shared" si="26"/>
        <v>0</v>
      </c>
      <c r="AG62" s="68">
        <f t="shared" si="26"/>
        <v>21315</v>
      </c>
      <c r="AH62" s="68">
        <f t="shared" si="26"/>
        <v>0</v>
      </c>
      <c r="AI62" s="68">
        <f t="shared" si="26"/>
        <v>0</v>
      </c>
      <c r="AJ62" s="68">
        <f t="shared" si="26"/>
        <v>0</v>
      </c>
      <c r="AK62" s="68">
        <f t="shared" si="26"/>
        <v>0</v>
      </c>
      <c r="AL62" s="68">
        <f t="shared" si="26"/>
        <v>0</v>
      </c>
      <c r="AM62" s="68">
        <f t="shared" si="26"/>
        <v>0</v>
      </c>
      <c r="AN62" s="68">
        <f t="shared" si="26"/>
        <v>0</v>
      </c>
      <c r="AO62" s="68">
        <f t="shared" si="26"/>
        <v>0</v>
      </c>
      <c r="AP62" s="68">
        <f t="shared" si="26"/>
        <v>0</v>
      </c>
      <c r="AQ62" s="68">
        <f t="shared" si="26"/>
        <v>0</v>
      </c>
      <c r="AR62" s="68">
        <f t="shared" si="26"/>
        <v>0</v>
      </c>
      <c r="AS62" s="68">
        <f t="shared" si="26"/>
        <v>0</v>
      </c>
      <c r="AT62" s="68">
        <f t="shared" si="26"/>
        <v>0</v>
      </c>
      <c r="AU62" s="68">
        <f t="shared" si="26"/>
        <v>0</v>
      </c>
      <c r="AV62" s="68">
        <f t="shared" si="26"/>
        <v>0</v>
      </c>
      <c r="AW62" s="68">
        <f t="shared" si="26"/>
        <v>0</v>
      </c>
      <c r="AX62" s="68">
        <f t="shared" si="26"/>
        <v>0</v>
      </c>
      <c r="AY62" s="68">
        <f t="shared" si="26"/>
        <v>0</v>
      </c>
      <c r="AZ62" s="68">
        <f t="shared" si="26"/>
        <v>0</v>
      </c>
      <c r="BA62" s="68">
        <f t="shared" si="26"/>
        <v>21315</v>
      </c>
      <c r="BB62" s="68">
        <f t="shared" si="26"/>
        <v>0</v>
      </c>
      <c r="BC62" s="69">
        <f t="shared" si="26"/>
        <v>0</v>
      </c>
    </row>
    <row r="63" spans="1:55" s="3" customFormat="1" ht="15.75" customHeight="1" x14ac:dyDescent="0.2">
      <c r="A63" s="353"/>
      <c r="B63" s="92"/>
      <c r="C63" s="47"/>
      <c r="D63" s="47" t="s">
        <v>217</v>
      </c>
      <c r="E63" s="98"/>
      <c r="F63" s="98" t="s">
        <v>166</v>
      </c>
      <c r="G63" s="49" t="s">
        <v>2</v>
      </c>
      <c r="H63" s="50">
        <v>1971</v>
      </c>
      <c r="I63" s="93" t="s">
        <v>33</v>
      </c>
      <c r="J63" s="62">
        <v>20</v>
      </c>
      <c r="K63" s="63"/>
      <c r="L63" s="64">
        <v>2025</v>
      </c>
      <c r="M63" s="94">
        <v>265</v>
      </c>
      <c r="N63" s="66">
        <f>M63*87</f>
        <v>23055</v>
      </c>
      <c r="O63" s="91" t="s">
        <v>49</v>
      </c>
      <c r="P63" s="67">
        <f t="shared" si="2"/>
        <v>0</v>
      </c>
      <c r="Q63" s="68">
        <f t="shared" si="26"/>
        <v>0</v>
      </c>
      <c r="R63" s="68">
        <f t="shared" si="26"/>
        <v>23055</v>
      </c>
      <c r="S63" s="68">
        <f t="shared" si="26"/>
        <v>0</v>
      </c>
      <c r="T63" s="68">
        <f t="shared" si="26"/>
        <v>0</v>
      </c>
      <c r="U63" s="68">
        <f t="shared" si="26"/>
        <v>0</v>
      </c>
      <c r="V63" s="68">
        <f t="shared" si="26"/>
        <v>0</v>
      </c>
      <c r="W63" s="68">
        <f t="shared" ref="W63:BC63" si="28">IF($F63="Ja",IF(MOD($L63-W$10,$J63)=0,$N63,0),0)</f>
        <v>0</v>
      </c>
      <c r="X63" s="68">
        <f t="shared" si="28"/>
        <v>0</v>
      </c>
      <c r="Y63" s="68">
        <f t="shared" si="28"/>
        <v>0</v>
      </c>
      <c r="Z63" s="68">
        <f t="shared" si="28"/>
        <v>0</v>
      </c>
      <c r="AA63" s="68">
        <f t="shared" si="28"/>
        <v>0</v>
      </c>
      <c r="AB63" s="68">
        <f t="shared" si="28"/>
        <v>0</v>
      </c>
      <c r="AC63" s="68">
        <f t="shared" si="28"/>
        <v>0</v>
      </c>
      <c r="AD63" s="68">
        <f t="shared" si="28"/>
        <v>0</v>
      </c>
      <c r="AE63" s="68">
        <f t="shared" si="28"/>
        <v>0</v>
      </c>
      <c r="AF63" s="68">
        <f t="shared" si="28"/>
        <v>0</v>
      </c>
      <c r="AG63" s="68">
        <f t="shared" si="28"/>
        <v>0</v>
      </c>
      <c r="AH63" s="68">
        <f t="shared" si="28"/>
        <v>0</v>
      </c>
      <c r="AI63" s="68">
        <f t="shared" si="28"/>
        <v>0</v>
      </c>
      <c r="AJ63" s="68">
        <f t="shared" si="28"/>
        <v>0</v>
      </c>
      <c r="AK63" s="68">
        <f t="shared" si="28"/>
        <v>0</v>
      </c>
      <c r="AL63" s="68">
        <f t="shared" si="28"/>
        <v>23055</v>
      </c>
      <c r="AM63" s="68">
        <f t="shared" si="28"/>
        <v>0</v>
      </c>
      <c r="AN63" s="68">
        <f t="shared" si="28"/>
        <v>0</v>
      </c>
      <c r="AO63" s="68">
        <f t="shared" si="28"/>
        <v>0</v>
      </c>
      <c r="AP63" s="68">
        <f t="shared" si="28"/>
        <v>0</v>
      </c>
      <c r="AQ63" s="68">
        <f t="shared" si="28"/>
        <v>0</v>
      </c>
      <c r="AR63" s="68">
        <f t="shared" si="28"/>
        <v>0</v>
      </c>
      <c r="AS63" s="68">
        <f t="shared" si="28"/>
        <v>0</v>
      </c>
      <c r="AT63" s="68">
        <f t="shared" si="28"/>
        <v>0</v>
      </c>
      <c r="AU63" s="68">
        <f t="shared" si="28"/>
        <v>0</v>
      </c>
      <c r="AV63" s="68">
        <f t="shared" si="28"/>
        <v>0</v>
      </c>
      <c r="AW63" s="68">
        <f t="shared" si="28"/>
        <v>0</v>
      </c>
      <c r="AX63" s="68">
        <f t="shared" si="28"/>
        <v>0</v>
      </c>
      <c r="AY63" s="68">
        <f t="shared" si="28"/>
        <v>0</v>
      </c>
      <c r="AZ63" s="68">
        <f t="shared" si="28"/>
        <v>0</v>
      </c>
      <c r="BA63" s="68">
        <f t="shared" si="28"/>
        <v>0</v>
      </c>
      <c r="BB63" s="68">
        <f t="shared" si="28"/>
        <v>0</v>
      </c>
      <c r="BC63" s="69">
        <f t="shared" si="28"/>
        <v>0</v>
      </c>
    </row>
    <row r="64" spans="1:55" s="3" customFormat="1" ht="15.75" customHeight="1" x14ac:dyDescent="0.2">
      <c r="A64" s="353"/>
      <c r="B64" s="92"/>
      <c r="C64" s="47"/>
      <c r="D64" s="47" t="s">
        <v>54</v>
      </c>
      <c r="E64" s="98"/>
      <c r="F64" s="98" t="s">
        <v>166</v>
      </c>
      <c r="G64" s="49" t="s">
        <v>2</v>
      </c>
      <c r="H64" s="50"/>
      <c r="I64" s="93" t="s">
        <v>33</v>
      </c>
      <c r="J64" s="62">
        <v>20</v>
      </c>
      <c r="K64" s="63"/>
      <c r="L64" s="64"/>
      <c r="M64" s="94">
        <f>771-M65</f>
        <v>545</v>
      </c>
      <c r="N64" s="66">
        <f>M64*60</f>
        <v>32700</v>
      </c>
      <c r="O64" s="91" t="s">
        <v>31</v>
      </c>
      <c r="P64" s="67">
        <f t="shared" si="2"/>
        <v>0</v>
      </c>
      <c r="Q64" s="68">
        <f t="shared" si="26"/>
        <v>0</v>
      </c>
      <c r="R64" s="68">
        <f t="shared" si="26"/>
        <v>0</v>
      </c>
      <c r="S64" s="68">
        <f t="shared" si="26"/>
        <v>0</v>
      </c>
      <c r="T64" s="68">
        <f t="shared" si="26"/>
        <v>0</v>
      </c>
      <c r="U64" s="68">
        <f t="shared" si="26"/>
        <v>0</v>
      </c>
      <c r="V64" s="68">
        <f t="shared" si="26"/>
        <v>0</v>
      </c>
      <c r="W64" s="68">
        <f t="shared" si="26"/>
        <v>0</v>
      </c>
      <c r="X64" s="68">
        <f t="shared" si="26"/>
        <v>0</v>
      </c>
      <c r="Y64" s="68">
        <f t="shared" si="26"/>
        <v>0</v>
      </c>
      <c r="Z64" s="68">
        <f t="shared" si="26"/>
        <v>0</v>
      </c>
      <c r="AA64" s="68">
        <f t="shared" si="26"/>
        <v>0</v>
      </c>
      <c r="AB64" s="68">
        <f t="shared" si="26"/>
        <v>0</v>
      </c>
      <c r="AC64" s="68">
        <f t="shared" si="26"/>
        <v>0</v>
      </c>
      <c r="AD64" s="68">
        <f t="shared" si="26"/>
        <v>0</v>
      </c>
      <c r="AE64" s="68">
        <f t="shared" si="26"/>
        <v>0</v>
      </c>
      <c r="AF64" s="68">
        <f t="shared" si="26"/>
        <v>0</v>
      </c>
      <c r="AG64" s="68">
        <f t="shared" si="26"/>
        <v>32700</v>
      </c>
      <c r="AH64" s="68">
        <f t="shared" si="26"/>
        <v>0</v>
      </c>
      <c r="AI64" s="68">
        <f t="shared" si="26"/>
        <v>0</v>
      </c>
      <c r="AJ64" s="68">
        <f t="shared" si="26"/>
        <v>0</v>
      </c>
      <c r="AK64" s="68">
        <f t="shared" si="26"/>
        <v>0</v>
      </c>
      <c r="AL64" s="68">
        <f t="shared" si="26"/>
        <v>0</v>
      </c>
      <c r="AM64" s="68">
        <f t="shared" si="26"/>
        <v>0</v>
      </c>
      <c r="AN64" s="68">
        <f t="shared" si="26"/>
        <v>0</v>
      </c>
      <c r="AO64" s="68">
        <f t="shared" si="26"/>
        <v>0</v>
      </c>
      <c r="AP64" s="68">
        <f t="shared" si="26"/>
        <v>0</v>
      </c>
      <c r="AQ64" s="68">
        <f t="shared" si="26"/>
        <v>0</v>
      </c>
      <c r="AR64" s="68">
        <f t="shared" si="26"/>
        <v>0</v>
      </c>
      <c r="AS64" s="68">
        <f t="shared" si="26"/>
        <v>0</v>
      </c>
      <c r="AT64" s="68">
        <f t="shared" si="26"/>
        <v>0</v>
      </c>
      <c r="AU64" s="68">
        <f t="shared" si="26"/>
        <v>0</v>
      </c>
      <c r="AV64" s="68">
        <f t="shared" si="26"/>
        <v>0</v>
      </c>
      <c r="AW64" s="68">
        <f t="shared" si="26"/>
        <v>0</v>
      </c>
      <c r="AX64" s="68">
        <f t="shared" si="26"/>
        <v>0</v>
      </c>
      <c r="AY64" s="68">
        <f t="shared" si="26"/>
        <v>0</v>
      </c>
      <c r="AZ64" s="68">
        <f t="shared" si="26"/>
        <v>0</v>
      </c>
      <c r="BA64" s="68">
        <f t="shared" si="26"/>
        <v>32700</v>
      </c>
      <c r="BB64" s="68">
        <f t="shared" si="26"/>
        <v>0</v>
      </c>
      <c r="BC64" s="69">
        <f t="shared" si="26"/>
        <v>0</v>
      </c>
    </row>
    <row r="65" spans="1:55" s="3" customFormat="1" ht="15.75" customHeight="1" x14ac:dyDescent="0.2">
      <c r="A65" s="353"/>
      <c r="B65" s="92"/>
      <c r="C65" s="47"/>
      <c r="D65" s="47" t="s">
        <v>218</v>
      </c>
      <c r="E65" s="98"/>
      <c r="F65" s="98" t="s">
        <v>166</v>
      </c>
      <c r="G65" s="49" t="s">
        <v>2</v>
      </c>
      <c r="H65" s="50"/>
      <c r="I65" s="93" t="s">
        <v>33</v>
      </c>
      <c r="J65" s="62">
        <v>20</v>
      </c>
      <c r="K65" s="63"/>
      <c r="L65" s="64">
        <v>2025</v>
      </c>
      <c r="M65" s="94">
        <v>226</v>
      </c>
      <c r="N65" s="66">
        <f>M65*60</f>
        <v>13560</v>
      </c>
      <c r="O65" s="91" t="s">
        <v>31</v>
      </c>
      <c r="P65" s="67">
        <f t="shared" si="2"/>
        <v>0</v>
      </c>
      <c r="Q65" s="68">
        <f t="shared" si="2"/>
        <v>0</v>
      </c>
      <c r="R65" s="68">
        <f t="shared" si="2"/>
        <v>13560</v>
      </c>
      <c r="S65" s="68">
        <f t="shared" si="2"/>
        <v>0</v>
      </c>
      <c r="T65" s="68">
        <f t="shared" si="2"/>
        <v>0</v>
      </c>
      <c r="U65" s="68">
        <f t="shared" si="2"/>
        <v>0</v>
      </c>
      <c r="V65" s="68">
        <f t="shared" si="2"/>
        <v>0</v>
      </c>
      <c r="W65" s="68">
        <f t="shared" si="2"/>
        <v>0</v>
      </c>
      <c r="X65" s="68">
        <f t="shared" si="2"/>
        <v>0</v>
      </c>
      <c r="Y65" s="68">
        <f t="shared" si="2"/>
        <v>0</v>
      </c>
      <c r="Z65" s="68">
        <f t="shared" si="2"/>
        <v>0</v>
      </c>
      <c r="AA65" s="68">
        <f t="shared" si="2"/>
        <v>0</v>
      </c>
      <c r="AB65" s="68">
        <f t="shared" si="2"/>
        <v>0</v>
      </c>
      <c r="AC65" s="68">
        <f t="shared" si="2"/>
        <v>0</v>
      </c>
      <c r="AD65" s="68">
        <f t="shared" si="2"/>
        <v>0</v>
      </c>
      <c r="AE65" s="68">
        <f t="shared" si="2"/>
        <v>0</v>
      </c>
      <c r="AF65" s="68">
        <f t="shared" ref="AF65:BC65" si="29">IF($F65="Ja",IF(MOD($L65-AF$10,$J65)=0,$N65,0),0)</f>
        <v>0</v>
      </c>
      <c r="AG65" s="68">
        <f t="shared" si="29"/>
        <v>0</v>
      </c>
      <c r="AH65" s="68">
        <f t="shared" si="29"/>
        <v>0</v>
      </c>
      <c r="AI65" s="68">
        <f t="shared" si="29"/>
        <v>0</v>
      </c>
      <c r="AJ65" s="68">
        <f t="shared" si="29"/>
        <v>0</v>
      </c>
      <c r="AK65" s="68">
        <f t="shared" si="29"/>
        <v>0</v>
      </c>
      <c r="AL65" s="68">
        <f t="shared" si="29"/>
        <v>13560</v>
      </c>
      <c r="AM65" s="68">
        <f t="shared" si="29"/>
        <v>0</v>
      </c>
      <c r="AN65" s="68">
        <f t="shared" si="29"/>
        <v>0</v>
      </c>
      <c r="AO65" s="68">
        <f t="shared" si="29"/>
        <v>0</v>
      </c>
      <c r="AP65" s="68">
        <f t="shared" si="29"/>
        <v>0</v>
      </c>
      <c r="AQ65" s="68">
        <f t="shared" si="29"/>
        <v>0</v>
      </c>
      <c r="AR65" s="68">
        <f t="shared" si="29"/>
        <v>0</v>
      </c>
      <c r="AS65" s="68">
        <f t="shared" si="29"/>
        <v>0</v>
      </c>
      <c r="AT65" s="68">
        <f t="shared" si="29"/>
        <v>0</v>
      </c>
      <c r="AU65" s="68">
        <f t="shared" si="29"/>
        <v>0</v>
      </c>
      <c r="AV65" s="68">
        <f t="shared" si="29"/>
        <v>0</v>
      </c>
      <c r="AW65" s="68">
        <f t="shared" si="29"/>
        <v>0</v>
      </c>
      <c r="AX65" s="68">
        <f t="shared" si="29"/>
        <v>0</v>
      </c>
      <c r="AY65" s="68">
        <f t="shared" si="29"/>
        <v>0</v>
      </c>
      <c r="AZ65" s="68">
        <f t="shared" si="29"/>
        <v>0</v>
      </c>
      <c r="BA65" s="68">
        <f t="shared" si="29"/>
        <v>0</v>
      </c>
      <c r="BB65" s="68">
        <f t="shared" si="29"/>
        <v>0</v>
      </c>
      <c r="BC65" s="69">
        <f t="shared" si="29"/>
        <v>0</v>
      </c>
    </row>
    <row r="66" spans="1:55" s="3" customFormat="1" ht="15.75" customHeight="1" x14ac:dyDescent="0.2">
      <c r="A66" s="353"/>
      <c r="B66" s="92"/>
      <c r="C66" s="47"/>
      <c r="D66" s="47" t="s">
        <v>50</v>
      </c>
      <c r="E66" s="98"/>
      <c r="F66" s="98" t="s">
        <v>166</v>
      </c>
      <c r="G66" s="49" t="s">
        <v>6</v>
      </c>
      <c r="H66" s="50"/>
      <c r="I66" s="93" t="s">
        <v>33</v>
      </c>
      <c r="J66" s="62">
        <v>20</v>
      </c>
      <c r="K66" s="63"/>
      <c r="L66" s="64"/>
      <c r="M66" s="94">
        <v>2370</v>
      </c>
      <c r="N66" s="66">
        <f>M66*2</f>
        <v>4740</v>
      </c>
      <c r="O66" s="91" t="s">
        <v>31</v>
      </c>
      <c r="P66" s="67">
        <f t="shared" si="2"/>
        <v>0</v>
      </c>
      <c r="Q66" s="68">
        <f t="shared" si="26"/>
        <v>0</v>
      </c>
      <c r="R66" s="68">
        <f t="shared" si="26"/>
        <v>0</v>
      </c>
      <c r="S66" s="68">
        <f t="shared" si="26"/>
        <v>0</v>
      </c>
      <c r="T66" s="68">
        <f t="shared" si="26"/>
        <v>0</v>
      </c>
      <c r="U66" s="68">
        <f t="shared" si="26"/>
        <v>0</v>
      </c>
      <c r="V66" s="68">
        <f t="shared" si="26"/>
        <v>0</v>
      </c>
      <c r="W66" s="68">
        <f t="shared" si="26"/>
        <v>0</v>
      </c>
      <c r="X66" s="68">
        <f t="shared" si="26"/>
        <v>0</v>
      </c>
      <c r="Y66" s="68">
        <f t="shared" si="26"/>
        <v>0</v>
      </c>
      <c r="Z66" s="68">
        <f t="shared" si="26"/>
        <v>0</v>
      </c>
      <c r="AA66" s="68">
        <f t="shared" si="26"/>
        <v>0</v>
      </c>
      <c r="AB66" s="68">
        <f t="shared" si="26"/>
        <v>0</v>
      </c>
      <c r="AC66" s="68">
        <f t="shared" si="26"/>
        <v>0</v>
      </c>
      <c r="AD66" s="68">
        <f t="shared" si="26"/>
        <v>0</v>
      </c>
      <c r="AE66" s="68">
        <f t="shared" si="26"/>
        <v>0</v>
      </c>
      <c r="AF66" s="68">
        <f t="shared" si="26"/>
        <v>0</v>
      </c>
      <c r="AG66" s="68">
        <f t="shared" si="26"/>
        <v>4740</v>
      </c>
      <c r="AH66" s="68">
        <f t="shared" si="26"/>
        <v>0</v>
      </c>
      <c r="AI66" s="68">
        <f t="shared" si="26"/>
        <v>0</v>
      </c>
      <c r="AJ66" s="68">
        <f t="shared" si="26"/>
        <v>0</v>
      </c>
      <c r="AK66" s="68">
        <f t="shared" si="26"/>
        <v>0</v>
      </c>
      <c r="AL66" s="68">
        <f t="shared" si="26"/>
        <v>0</v>
      </c>
      <c r="AM66" s="68">
        <f t="shared" si="26"/>
        <v>0</v>
      </c>
      <c r="AN66" s="68">
        <f t="shared" si="26"/>
        <v>0</v>
      </c>
      <c r="AO66" s="68">
        <f t="shared" si="26"/>
        <v>0</v>
      </c>
      <c r="AP66" s="68">
        <f t="shared" si="26"/>
        <v>0</v>
      </c>
      <c r="AQ66" s="68">
        <f t="shared" si="26"/>
        <v>0</v>
      </c>
      <c r="AR66" s="68">
        <f t="shared" si="26"/>
        <v>0</v>
      </c>
      <c r="AS66" s="68">
        <f t="shared" si="26"/>
        <v>0</v>
      </c>
      <c r="AT66" s="68">
        <f t="shared" si="26"/>
        <v>0</v>
      </c>
      <c r="AU66" s="68">
        <f t="shared" si="26"/>
        <v>0</v>
      </c>
      <c r="AV66" s="68">
        <f t="shared" si="26"/>
        <v>0</v>
      </c>
      <c r="AW66" s="68">
        <f t="shared" si="26"/>
        <v>0</v>
      </c>
      <c r="AX66" s="68">
        <f t="shared" si="26"/>
        <v>0</v>
      </c>
      <c r="AY66" s="68">
        <f t="shared" si="26"/>
        <v>0</v>
      </c>
      <c r="AZ66" s="68">
        <f t="shared" si="26"/>
        <v>0</v>
      </c>
      <c r="BA66" s="68">
        <f t="shared" si="26"/>
        <v>4740</v>
      </c>
      <c r="BB66" s="68">
        <f t="shared" si="26"/>
        <v>0</v>
      </c>
      <c r="BC66" s="69">
        <f t="shared" si="26"/>
        <v>0</v>
      </c>
    </row>
    <row r="67" spans="1:55" s="3" customFormat="1" ht="15" customHeight="1" thickBot="1" x14ac:dyDescent="0.25">
      <c r="A67" s="354"/>
      <c r="B67" s="146"/>
      <c r="C67" s="147"/>
      <c r="D67" s="148"/>
      <c r="E67" s="149"/>
      <c r="F67" s="149"/>
      <c r="G67" s="150"/>
      <c r="H67" s="151"/>
      <c r="I67" s="152"/>
      <c r="J67" s="153"/>
      <c r="K67" s="154"/>
      <c r="L67" s="155"/>
      <c r="M67" s="155"/>
      <c r="N67" s="156"/>
      <c r="O67" s="157"/>
      <c r="P67" s="158">
        <f t="shared" ref="P67:BC67" si="30">SUM(P60:P66)</f>
        <v>0</v>
      </c>
      <c r="Q67" s="159">
        <f t="shared" si="30"/>
        <v>0</v>
      </c>
      <c r="R67" s="159">
        <f t="shared" si="30"/>
        <v>43615</v>
      </c>
      <c r="S67" s="159">
        <f t="shared" si="30"/>
        <v>0</v>
      </c>
      <c r="T67" s="159">
        <f t="shared" si="30"/>
        <v>0</v>
      </c>
      <c r="U67" s="159">
        <f t="shared" si="30"/>
        <v>0</v>
      </c>
      <c r="V67" s="159">
        <f t="shared" si="30"/>
        <v>0</v>
      </c>
      <c r="W67" s="159">
        <f t="shared" si="30"/>
        <v>0</v>
      </c>
      <c r="X67" s="159">
        <f t="shared" si="30"/>
        <v>139780</v>
      </c>
      <c r="Y67" s="159">
        <f t="shared" si="30"/>
        <v>0</v>
      </c>
      <c r="Z67" s="159">
        <f t="shared" si="30"/>
        <v>0</v>
      </c>
      <c r="AA67" s="159">
        <f t="shared" si="30"/>
        <v>0</v>
      </c>
      <c r="AB67" s="159">
        <f t="shared" si="30"/>
        <v>0</v>
      </c>
      <c r="AC67" s="159">
        <f t="shared" si="30"/>
        <v>0</v>
      </c>
      <c r="AD67" s="159">
        <f t="shared" si="30"/>
        <v>0</v>
      </c>
      <c r="AE67" s="159">
        <f t="shared" si="30"/>
        <v>0</v>
      </c>
      <c r="AF67" s="159">
        <f t="shared" si="30"/>
        <v>0</v>
      </c>
      <c r="AG67" s="159">
        <f t="shared" si="30"/>
        <v>58755</v>
      </c>
      <c r="AH67" s="159">
        <f t="shared" si="30"/>
        <v>0</v>
      </c>
      <c r="AI67" s="159">
        <f t="shared" si="30"/>
        <v>0</v>
      </c>
      <c r="AJ67" s="159">
        <f t="shared" si="30"/>
        <v>0</v>
      </c>
      <c r="AK67" s="159">
        <f t="shared" si="30"/>
        <v>0</v>
      </c>
      <c r="AL67" s="159">
        <f t="shared" si="30"/>
        <v>36615</v>
      </c>
      <c r="AM67" s="159">
        <f t="shared" si="30"/>
        <v>0</v>
      </c>
      <c r="AN67" s="159">
        <f t="shared" si="30"/>
        <v>0</v>
      </c>
      <c r="AO67" s="159">
        <f t="shared" si="30"/>
        <v>0</v>
      </c>
      <c r="AP67" s="159">
        <f t="shared" si="30"/>
        <v>0</v>
      </c>
      <c r="AQ67" s="159">
        <f t="shared" si="30"/>
        <v>0</v>
      </c>
      <c r="AR67" s="159">
        <f t="shared" si="30"/>
        <v>0</v>
      </c>
      <c r="AS67" s="159">
        <f t="shared" si="30"/>
        <v>0</v>
      </c>
      <c r="AT67" s="159">
        <f t="shared" si="30"/>
        <v>0</v>
      </c>
      <c r="AU67" s="159">
        <f t="shared" si="30"/>
        <v>0</v>
      </c>
      <c r="AV67" s="159">
        <f t="shared" si="30"/>
        <v>7000</v>
      </c>
      <c r="AW67" s="159">
        <f t="shared" si="30"/>
        <v>0</v>
      </c>
      <c r="AX67" s="159">
        <f t="shared" si="30"/>
        <v>0</v>
      </c>
      <c r="AY67" s="159">
        <f t="shared" si="30"/>
        <v>0</v>
      </c>
      <c r="AZ67" s="159">
        <f t="shared" si="30"/>
        <v>0</v>
      </c>
      <c r="BA67" s="159">
        <f t="shared" si="30"/>
        <v>58755</v>
      </c>
      <c r="BB67" s="159">
        <f t="shared" si="30"/>
        <v>139780</v>
      </c>
      <c r="BC67" s="159">
        <f t="shared" si="30"/>
        <v>0</v>
      </c>
    </row>
    <row r="68" spans="1:55" s="3" customFormat="1" ht="16.5" thickBot="1" x14ac:dyDescent="0.3">
      <c r="A68" s="99"/>
      <c r="B68" s="100"/>
      <c r="C68" s="100"/>
      <c r="D68" s="100"/>
      <c r="E68" s="100"/>
      <c r="F68" s="100"/>
      <c r="G68" s="100"/>
      <c r="H68" s="101"/>
      <c r="I68" s="101"/>
      <c r="J68" s="101"/>
      <c r="K68" s="101"/>
      <c r="L68" s="101"/>
      <c r="M68" s="102"/>
      <c r="N68" s="103" t="s">
        <v>151</v>
      </c>
      <c r="O68" s="130"/>
      <c r="P68" s="104">
        <f t="shared" ref="P68:BC68" si="31">P20+P32+P45+P59+P67</f>
        <v>0</v>
      </c>
      <c r="Q68" s="104">
        <f t="shared" si="31"/>
        <v>0</v>
      </c>
      <c r="R68" s="104">
        <f t="shared" si="31"/>
        <v>109439</v>
      </c>
      <c r="S68" s="104">
        <f t="shared" si="31"/>
        <v>4719</v>
      </c>
      <c r="T68" s="104">
        <f t="shared" si="31"/>
        <v>69817</v>
      </c>
      <c r="U68" s="104">
        <f t="shared" si="31"/>
        <v>1936</v>
      </c>
      <c r="V68" s="104">
        <f t="shared" si="31"/>
        <v>0</v>
      </c>
      <c r="W68" s="104">
        <f t="shared" si="31"/>
        <v>1815</v>
      </c>
      <c r="X68" s="104">
        <f t="shared" si="31"/>
        <v>146435</v>
      </c>
      <c r="Y68" s="104">
        <f t="shared" si="31"/>
        <v>4114</v>
      </c>
      <c r="Z68" s="104">
        <f t="shared" si="31"/>
        <v>0</v>
      </c>
      <c r="AA68" s="104">
        <f t="shared" si="31"/>
        <v>1936</v>
      </c>
      <c r="AB68" s="104">
        <f t="shared" si="31"/>
        <v>55660</v>
      </c>
      <c r="AC68" s="104">
        <f t="shared" si="31"/>
        <v>45738</v>
      </c>
      <c r="AD68" s="104">
        <f t="shared" si="31"/>
        <v>6050</v>
      </c>
      <c r="AE68" s="104">
        <f t="shared" si="31"/>
        <v>22264</v>
      </c>
      <c r="AF68" s="104">
        <f t="shared" si="31"/>
        <v>53845</v>
      </c>
      <c r="AG68" s="104">
        <f t="shared" si="31"/>
        <v>81382</v>
      </c>
      <c r="AH68" s="104">
        <f t="shared" si="31"/>
        <v>59653</v>
      </c>
      <c r="AI68" s="104">
        <f t="shared" si="31"/>
        <v>67397</v>
      </c>
      <c r="AJ68" s="104">
        <f t="shared" si="31"/>
        <v>1936</v>
      </c>
      <c r="AK68" s="104">
        <f t="shared" si="31"/>
        <v>0</v>
      </c>
      <c r="AL68" s="104">
        <f t="shared" si="31"/>
        <v>60694</v>
      </c>
      <c r="AM68" s="104">
        <f t="shared" si="31"/>
        <v>6655</v>
      </c>
      <c r="AN68" s="104">
        <f t="shared" si="31"/>
        <v>111078</v>
      </c>
      <c r="AO68" s="104">
        <f t="shared" si="31"/>
        <v>20933</v>
      </c>
      <c r="AP68" s="104">
        <f t="shared" si="31"/>
        <v>1936</v>
      </c>
      <c r="AQ68" s="104">
        <f t="shared" si="31"/>
        <v>42834</v>
      </c>
      <c r="AR68" s="104">
        <f t="shared" si="31"/>
        <v>45738</v>
      </c>
      <c r="AS68" s="104">
        <f t="shared" si="31"/>
        <v>26983</v>
      </c>
      <c r="AT68" s="104">
        <f t="shared" si="31"/>
        <v>0</v>
      </c>
      <c r="AU68" s="104">
        <f t="shared" si="31"/>
        <v>41019</v>
      </c>
      <c r="AV68" s="104">
        <f t="shared" si="31"/>
        <v>63386</v>
      </c>
      <c r="AW68" s="104">
        <f t="shared" si="31"/>
        <v>4719</v>
      </c>
      <c r="AX68" s="104">
        <f t="shared" si="31"/>
        <v>45133</v>
      </c>
      <c r="AY68" s="104">
        <f t="shared" si="31"/>
        <v>24200</v>
      </c>
      <c r="AZ68" s="104">
        <f t="shared" si="31"/>
        <v>12826</v>
      </c>
      <c r="BA68" s="104">
        <f t="shared" si="31"/>
        <v>60570</v>
      </c>
      <c r="BB68" s="104">
        <f t="shared" si="31"/>
        <v>201369</v>
      </c>
      <c r="BC68" s="105">
        <f t="shared" si="31"/>
        <v>26378</v>
      </c>
    </row>
    <row r="71" spans="1:55" ht="15.75" x14ac:dyDescent="0.25">
      <c r="N71" s="205" t="s">
        <v>83</v>
      </c>
      <c r="O71" s="206">
        <v>0.05</v>
      </c>
      <c r="P71" s="207">
        <f>P68*$O$71</f>
        <v>0</v>
      </c>
      <c r="Q71" s="207">
        <f t="shared" ref="Q71:BC71" si="32">Q68*$O$71</f>
        <v>0</v>
      </c>
      <c r="R71" s="207">
        <f t="shared" si="32"/>
        <v>5471.9500000000007</v>
      </c>
      <c r="S71" s="207">
        <f t="shared" si="32"/>
        <v>235.95000000000002</v>
      </c>
      <c r="T71" s="207">
        <f t="shared" si="32"/>
        <v>3490.8500000000004</v>
      </c>
      <c r="U71" s="207">
        <f t="shared" si="32"/>
        <v>96.800000000000011</v>
      </c>
      <c r="V71" s="207">
        <f t="shared" si="32"/>
        <v>0</v>
      </c>
      <c r="W71" s="207">
        <f t="shared" si="32"/>
        <v>90.75</v>
      </c>
      <c r="X71" s="207">
        <f t="shared" si="32"/>
        <v>7321.75</v>
      </c>
      <c r="Y71" s="207">
        <f t="shared" si="32"/>
        <v>205.70000000000002</v>
      </c>
      <c r="Z71" s="207">
        <f t="shared" si="32"/>
        <v>0</v>
      </c>
      <c r="AA71" s="207">
        <f t="shared" si="32"/>
        <v>96.800000000000011</v>
      </c>
      <c r="AB71" s="207">
        <f t="shared" si="32"/>
        <v>2783</v>
      </c>
      <c r="AC71" s="207">
        <f t="shared" si="32"/>
        <v>2286.9</v>
      </c>
      <c r="AD71" s="207">
        <f t="shared" si="32"/>
        <v>302.5</v>
      </c>
      <c r="AE71" s="207">
        <f t="shared" si="32"/>
        <v>1113.2</v>
      </c>
      <c r="AF71" s="207">
        <f t="shared" si="32"/>
        <v>2692.25</v>
      </c>
      <c r="AG71" s="207">
        <f t="shared" si="32"/>
        <v>4069.1000000000004</v>
      </c>
      <c r="AH71" s="207">
        <f t="shared" si="32"/>
        <v>2982.65</v>
      </c>
      <c r="AI71" s="207">
        <f t="shared" si="32"/>
        <v>3369.8500000000004</v>
      </c>
      <c r="AJ71" s="207">
        <f t="shared" si="32"/>
        <v>96.800000000000011</v>
      </c>
      <c r="AK71" s="207">
        <f t="shared" si="32"/>
        <v>0</v>
      </c>
      <c r="AL71" s="207">
        <f t="shared" si="32"/>
        <v>3034.7000000000003</v>
      </c>
      <c r="AM71" s="207">
        <f t="shared" si="32"/>
        <v>332.75</v>
      </c>
      <c r="AN71" s="207">
        <f t="shared" si="32"/>
        <v>5553.9000000000005</v>
      </c>
      <c r="AO71" s="207">
        <f t="shared" si="32"/>
        <v>1046.6500000000001</v>
      </c>
      <c r="AP71" s="207">
        <f t="shared" si="32"/>
        <v>96.800000000000011</v>
      </c>
      <c r="AQ71" s="207">
        <f t="shared" si="32"/>
        <v>2141.7000000000003</v>
      </c>
      <c r="AR71" s="207">
        <f t="shared" si="32"/>
        <v>2286.9</v>
      </c>
      <c r="AS71" s="207">
        <f t="shared" si="32"/>
        <v>1349.15</v>
      </c>
      <c r="AT71" s="207">
        <f t="shared" si="32"/>
        <v>0</v>
      </c>
      <c r="AU71" s="207">
        <f t="shared" si="32"/>
        <v>2050.9500000000003</v>
      </c>
      <c r="AV71" s="207">
        <f t="shared" si="32"/>
        <v>3169.3</v>
      </c>
      <c r="AW71" s="207">
        <f t="shared" si="32"/>
        <v>235.95000000000002</v>
      </c>
      <c r="AX71" s="207">
        <f t="shared" si="32"/>
        <v>2256.65</v>
      </c>
      <c r="AY71" s="207">
        <f t="shared" si="32"/>
        <v>1210</v>
      </c>
      <c r="AZ71" s="207">
        <f t="shared" si="32"/>
        <v>641.30000000000007</v>
      </c>
      <c r="BA71" s="207">
        <f t="shared" si="32"/>
        <v>3028.5</v>
      </c>
      <c r="BB71" s="207">
        <f t="shared" si="32"/>
        <v>10068.450000000001</v>
      </c>
      <c r="BC71" s="207">
        <f t="shared" si="32"/>
        <v>1318.9</v>
      </c>
    </row>
    <row r="72" spans="1:55" ht="15.75" thickBot="1" x14ac:dyDescent="0.3">
      <c r="N72" s="3"/>
      <c r="O72" s="3"/>
      <c r="P72" s="3"/>
      <c r="Q72" s="3"/>
    </row>
    <row r="73" spans="1:55" ht="16.5" thickBot="1" x14ac:dyDescent="0.3">
      <c r="N73" s="208" t="s">
        <v>84</v>
      </c>
      <c r="O73" s="209"/>
      <c r="P73" s="104">
        <f t="shared" ref="P73:BC73" si="33">_xlfn.CEILING.MATH(SUM(P71:P72)+P68,1,1)</f>
        <v>0</v>
      </c>
      <c r="Q73" s="104">
        <f t="shared" si="33"/>
        <v>0</v>
      </c>
      <c r="R73" s="104">
        <f t="shared" si="33"/>
        <v>114911</v>
      </c>
      <c r="S73" s="104">
        <f t="shared" si="33"/>
        <v>4955</v>
      </c>
      <c r="T73" s="104">
        <f t="shared" si="33"/>
        <v>73308</v>
      </c>
      <c r="U73" s="104">
        <f t="shared" si="33"/>
        <v>2033</v>
      </c>
      <c r="V73" s="104">
        <f t="shared" si="33"/>
        <v>0</v>
      </c>
      <c r="W73" s="104">
        <f t="shared" si="33"/>
        <v>1906</v>
      </c>
      <c r="X73" s="104">
        <f t="shared" si="33"/>
        <v>153757</v>
      </c>
      <c r="Y73" s="104">
        <f t="shared" si="33"/>
        <v>4320</v>
      </c>
      <c r="Z73" s="104">
        <f t="shared" si="33"/>
        <v>0</v>
      </c>
      <c r="AA73" s="104">
        <f t="shared" si="33"/>
        <v>2033</v>
      </c>
      <c r="AB73" s="104">
        <f t="shared" si="33"/>
        <v>58443</v>
      </c>
      <c r="AC73" s="104">
        <f t="shared" si="33"/>
        <v>48025</v>
      </c>
      <c r="AD73" s="104">
        <f t="shared" si="33"/>
        <v>6353</v>
      </c>
      <c r="AE73" s="104">
        <f t="shared" si="33"/>
        <v>23378</v>
      </c>
      <c r="AF73" s="104">
        <f t="shared" si="33"/>
        <v>56538</v>
      </c>
      <c r="AG73" s="104">
        <f t="shared" si="33"/>
        <v>85452</v>
      </c>
      <c r="AH73" s="104">
        <f t="shared" si="33"/>
        <v>62636</v>
      </c>
      <c r="AI73" s="104">
        <f t="shared" si="33"/>
        <v>70767</v>
      </c>
      <c r="AJ73" s="104">
        <f t="shared" si="33"/>
        <v>2033</v>
      </c>
      <c r="AK73" s="104">
        <f t="shared" si="33"/>
        <v>0</v>
      </c>
      <c r="AL73" s="104">
        <f t="shared" si="33"/>
        <v>63729</v>
      </c>
      <c r="AM73" s="104">
        <f t="shared" si="33"/>
        <v>6988</v>
      </c>
      <c r="AN73" s="104">
        <f t="shared" si="33"/>
        <v>116632</v>
      </c>
      <c r="AO73" s="104">
        <f t="shared" si="33"/>
        <v>21980</v>
      </c>
      <c r="AP73" s="104">
        <f t="shared" si="33"/>
        <v>2033</v>
      </c>
      <c r="AQ73" s="104">
        <f t="shared" si="33"/>
        <v>44976</v>
      </c>
      <c r="AR73" s="104">
        <f t="shared" si="33"/>
        <v>48025</v>
      </c>
      <c r="AS73" s="104">
        <f t="shared" si="33"/>
        <v>28333</v>
      </c>
      <c r="AT73" s="104">
        <f t="shared" si="33"/>
        <v>0</v>
      </c>
      <c r="AU73" s="104">
        <f t="shared" si="33"/>
        <v>43070</v>
      </c>
      <c r="AV73" s="104">
        <f t="shared" si="33"/>
        <v>66556</v>
      </c>
      <c r="AW73" s="104">
        <f t="shared" si="33"/>
        <v>4955</v>
      </c>
      <c r="AX73" s="104">
        <f t="shared" si="33"/>
        <v>47390</v>
      </c>
      <c r="AY73" s="104">
        <f t="shared" si="33"/>
        <v>25410</v>
      </c>
      <c r="AZ73" s="104">
        <f t="shared" si="33"/>
        <v>13468</v>
      </c>
      <c r="BA73" s="104">
        <f t="shared" si="33"/>
        <v>63599</v>
      </c>
      <c r="BB73" s="104">
        <f t="shared" si="33"/>
        <v>211438</v>
      </c>
      <c r="BC73" s="105">
        <f t="shared" si="33"/>
        <v>27697</v>
      </c>
    </row>
    <row r="77" spans="1:55" x14ac:dyDescent="0.25">
      <c r="C77" s="327" t="s">
        <v>232</v>
      </c>
      <c r="D77" s="328"/>
    </row>
    <row r="78" spans="1:55" x14ac:dyDescent="0.25">
      <c r="C78" s="328" t="s">
        <v>234</v>
      </c>
      <c r="D78" s="329">
        <v>41019</v>
      </c>
      <c r="E78" t="s">
        <v>233</v>
      </c>
    </row>
    <row r="79" spans="1:55" x14ac:dyDescent="0.25">
      <c r="C79" s="328" t="s">
        <v>235</v>
      </c>
      <c r="D79" s="329">
        <v>35574</v>
      </c>
      <c r="E79" t="s">
        <v>236</v>
      </c>
    </row>
    <row r="80" spans="1:55" x14ac:dyDescent="0.25">
      <c r="C80" s="327" t="s">
        <v>237</v>
      </c>
      <c r="D80" s="330">
        <f>SUM(D78:D79)</f>
        <v>76593</v>
      </c>
    </row>
  </sheetData>
  <mergeCells count="1">
    <mergeCell ref="A11:A67"/>
  </mergeCells>
  <conditionalFormatting sqref="L11:L67">
    <cfRule type="cellIs" dxfId="1" priority="1" stopIfTrue="1" operator="notEqual">
      <formula>K11</formula>
    </cfRule>
  </conditionalFormatting>
  <dataValidations count="2">
    <dataValidation type="list" allowBlank="1" showInputMessage="1" showErrorMessage="1" sqref="G11:G67" xr:uid="{B12803E1-8110-4667-8881-E2725922BAC7}">
      <formula1>$H$3:$H$5</formula1>
    </dataValidation>
    <dataValidation type="list" allowBlank="1" showInputMessage="1" showErrorMessage="1" sqref="E11:E67" xr:uid="{39150E53-7487-4CF9-9D14-555CCF0EBF81}">
      <formula1>$J$3:$J$5</formula1>
    </dataValidation>
  </dataValidations>
  <pageMargins left="0.7" right="0.7" top="0.75" bottom="0.75" header="0.3" footer="0.3"/>
  <pageSetup paperSize="8" scale="77" fitToWidth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EA69D-725A-4EE0-8AA9-F87920E71675}">
  <dimension ref="A1:BB49"/>
  <sheetViews>
    <sheetView workbookViewId="0">
      <selection activeCell="L12" sqref="L12"/>
    </sheetView>
  </sheetViews>
  <sheetFormatPr defaultRowHeight="15" x14ac:dyDescent="0.25"/>
  <cols>
    <col min="1" max="1" width="7" customWidth="1"/>
    <col min="2" max="2" width="9.5703125" customWidth="1"/>
    <col min="3" max="3" width="31.28515625" customWidth="1"/>
    <col min="4" max="4" width="8.7109375" bestFit="1" customWidth="1"/>
    <col min="5" max="5" width="15.140625" customWidth="1"/>
    <col min="6" max="6" width="9.85546875" bestFit="1" customWidth="1"/>
    <col min="7" max="7" width="14.7109375" bestFit="1" customWidth="1"/>
    <col min="8" max="8" width="12" bestFit="1" customWidth="1"/>
    <col min="9" max="9" width="11" bestFit="1" customWidth="1"/>
    <col min="10" max="10" width="9.85546875" bestFit="1" customWidth="1"/>
    <col min="11" max="11" width="14.5703125" customWidth="1"/>
    <col min="12" max="12" width="15.28515625" customWidth="1"/>
    <col min="13" max="13" width="11.28515625" customWidth="1"/>
    <col min="14" max="53" width="20.7109375" customWidth="1"/>
    <col min="54" max="54" width="19.7109375" bestFit="1" customWidth="1"/>
    <col min="253" max="253" width="7" customWidth="1"/>
    <col min="254" max="254" width="9.28515625" customWidth="1"/>
    <col min="255" max="255" width="31.28515625" customWidth="1"/>
    <col min="256" max="256" width="58.85546875" customWidth="1"/>
    <col min="257" max="258" width="0" hidden="1" customWidth="1"/>
    <col min="259" max="259" width="14.7109375" customWidth="1"/>
    <col min="260" max="260" width="17.28515625" customWidth="1"/>
    <col min="261" max="261" width="26" bestFit="1" customWidth="1"/>
    <col min="262" max="262" width="12.140625" bestFit="1" customWidth="1"/>
    <col min="263" max="263" width="12.28515625" customWidth="1"/>
    <col min="264" max="264" width="12.140625" bestFit="1" customWidth="1"/>
    <col min="265" max="265" width="13.5703125" bestFit="1" customWidth="1"/>
    <col min="266" max="266" width="16" customWidth="1"/>
    <col min="267" max="267" width="10" customWidth="1"/>
    <col min="268" max="308" width="15.7109375" customWidth="1"/>
    <col min="309" max="309" width="2.5703125" bestFit="1" customWidth="1"/>
    <col min="509" max="509" width="7" customWidth="1"/>
    <col min="510" max="510" width="9.28515625" customWidth="1"/>
    <col min="511" max="511" width="31.28515625" customWidth="1"/>
    <col min="512" max="512" width="58.85546875" customWidth="1"/>
    <col min="513" max="514" width="0" hidden="1" customWidth="1"/>
    <col min="515" max="515" width="14.7109375" customWidth="1"/>
    <col min="516" max="516" width="17.28515625" customWidth="1"/>
    <col min="517" max="517" width="26" bestFit="1" customWidth="1"/>
    <col min="518" max="518" width="12.140625" bestFit="1" customWidth="1"/>
    <col min="519" max="519" width="12.28515625" customWidth="1"/>
    <col min="520" max="520" width="12.140625" bestFit="1" customWidth="1"/>
    <col min="521" max="521" width="13.5703125" bestFit="1" customWidth="1"/>
    <col min="522" max="522" width="16" customWidth="1"/>
    <col min="523" max="523" width="10" customWidth="1"/>
    <col min="524" max="564" width="15.7109375" customWidth="1"/>
    <col min="565" max="565" width="2.5703125" bestFit="1" customWidth="1"/>
    <col min="765" max="765" width="7" customWidth="1"/>
    <col min="766" max="766" width="9.28515625" customWidth="1"/>
    <col min="767" max="767" width="31.28515625" customWidth="1"/>
    <col min="768" max="768" width="58.85546875" customWidth="1"/>
    <col min="769" max="770" width="0" hidden="1" customWidth="1"/>
    <col min="771" max="771" width="14.7109375" customWidth="1"/>
    <col min="772" max="772" width="17.28515625" customWidth="1"/>
    <col min="773" max="773" width="26" bestFit="1" customWidth="1"/>
    <col min="774" max="774" width="12.140625" bestFit="1" customWidth="1"/>
    <col min="775" max="775" width="12.28515625" customWidth="1"/>
    <col min="776" max="776" width="12.140625" bestFit="1" customWidth="1"/>
    <col min="777" max="777" width="13.5703125" bestFit="1" customWidth="1"/>
    <col min="778" max="778" width="16" customWidth="1"/>
    <col min="779" max="779" width="10" customWidth="1"/>
    <col min="780" max="820" width="15.7109375" customWidth="1"/>
    <col min="821" max="821" width="2.5703125" bestFit="1" customWidth="1"/>
    <col min="1021" max="1021" width="7" customWidth="1"/>
    <col min="1022" max="1022" width="9.28515625" customWidth="1"/>
    <col min="1023" max="1023" width="31.28515625" customWidth="1"/>
    <col min="1024" max="1024" width="58.85546875" customWidth="1"/>
    <col min="1025" max="1026" width="0" hidden="1" customWidth="1"/>
    <col min="1027" max="1027" width="14.7109375" customWidth="1"/>
    <col min="1028" max="1028" width="17.28515625" customWidth="1"/>
    <col min="1029" max="1029" width="26" bestFit="1" customWidth="1"/>
    <col min="1030" max="1030" width="12.140625" bestFit="1" customWidth="1"/>
    <col min="1031" max="1031" width="12.28515625" customWidth="1"/>
    <col min="1032" max="1032" width="12.140625" bestFit="1" customWidth="1"/>
    <col min="1033" max="1033" width="13.5703125" bestFit="1" customWidth="1"/>
    <col min="1034" max="1034" width="16" customWidth="1"/>
    <col min="1035" max="1035" width="10" customWidth="1"/>
    <col min="1036" max="1076" width="15.7109375" customWidth="1"/>
    <col min="1077" max="1077" width="2.5703125" bestFit="1" customWidth="1"/>
    <col min="1277" max="1277" width="7" customWidth="1"/>
    <col min="1278" max="1278" width="9.28515625" customWidth="1"/>
    <col min="1279" max="1279" width="31.28515625" customWidth="1"/>
    <col min="1280" max="1280" width="58.85546875" customWidth="1"/>
    <col min="1281" max="1282" width="0" hidden="1" customWidth="1"/>
    <col min="1283" max="1283" width="14.7109375" customWidth="1"/>
    <col min="1284" max="1284" width="17.28515625" customWidth="1"/>
    <col min="1285" max="1285" width="26" bestFit="1" customWidth="1"/>
    <col min="1286" max="1286" width="12.140625" bestFit="1" customWidth="1"/>
    <col min="1287" max="1287" width="12.28515625" customWidth="1"/>
    <col min="1288" max="1288" width="12.140625" bestFit="1" customWidth="1"/>
    <col min="1289" max="1289" width="13.5703125" bestFit="1" customWidth="1"/>
    <col min="1290" max="1290" width="16" customWidth="1"/>
    <col min="1291" max="1291" width="10" customWidth="1"/>
    <col min="1292" max="1332" width="15.7109375" customWidth="1"/>
    <col min="1333" max="1333" width="2.5703125" bestFit="1" customWidth="1"/>
    <col min="1533" max="1533" width="7" customWidth="1"/>
    <col min="1534" max="1534" width="9.28515625" customWidth="1"/>
    <col min="1535" max="1535" width="31.28515625" customWidth="1"/>
    <col min="1536" max="1536" width="58.85546875" customWidth="1"/>
    <col min="1537" max="1538" width="0" hidden="1" customWidth="1"/>
    <col min="1539" max="1539" width="14.7109375" customWidth="1"/>
    <col min="1540" max="1540" width="17.28515625" customWidth="1"/>
    <col min="1541" max="1541" width="26" bestFit="1" customWidth="1"/>
    <col min="1542" max="1542" width="12.140625" bestFit="1" customWidth="1"/>
    <col min="1543" max="1543" width="12.28515625" customWidth="1"/>
    <col min="1544" max="1544" width="12.140625" bestFit="1" customWidth="1"/>
    <col min="1545" max="1545" width="13.5703125" bestFit="1" customWidth="1"/>
    <col min="1546" max="1546" width="16" customWidth="1"/>
    <col min="1547" max="1547" width="10" customWidth="1"/>
    <col min="1548" max="1588" width="15.7109375" customWidth="1"/>
    <col min="1589" max="1589" width="2.5703125" bestFit="1" customWidth="1"/>
    <col min="1789" max="1789" width="7" customWidth="1"/>
    <col min="1790" max="1790" width="9.28515625" customWidth="1"/>
    <col min="1791" max="1791" width="31.28515625" customWidth="1"/>
    <col min="1792" max="1792" width="58.85546875" customWidth="1"/>
    <col min="1793" max="1794" width="0" hidden="1" customWidth="1"/>
    <col min="1795" max="1795" width="14.7109375" customWidth="1"/>
    <col min="1796" max="1796" width="17.28515625" customWidth="1"/>
    <col min="1797" max="1797" width="26" bestFit="1" customWidth="1"/>
    <col min="1798" max="1798" width="12.140625" bestFit="1" customWidth="1"/>
    <col min="1799" max="1799" width="12.28515625" customWidth="1"/>
    <col min="1800" max="1800" width="12.140625" bestFit="1" customWidth="1"/>
    <col min="1801" max="1801" width="13.5703125" bestFit="1" customWidth="1"/>
    <col min="1802" max="1802" width="16" customWidth="1"/>
    <col min="1803" max="1803" width="10" customWidth="1"/>
    <col min="1804" max="1844" width="15.7109375" customWidth="1"/>
    <col min="1845" max="1845" width="2.5703125" bestFit="1" customWidth="1"/>
    <col min="2045" max="2045" width="7" customWidth="1"/>
    <col min="2046" max="2046" width="9.28515625" customWidth="1"/>
    <col min="2047" max="2047" width="31.28515625" customWidth="1"/>
    <col min="2048" max="2048" width="58.85546875" customWidth="1"/>
    <col min="2049" max="2050" width="0" hidden="1" customWidth="1"/>
    <col min="2051" max="2051" width="14.7109375" customWidth="1"/>
    <col min="2052" max="2052" width="17.28515625" customWidth="1"/>
    <col min="2053" max="2053" width="26" bestFit="1" customWidth="1"/>
    <col min="2054" max="2054" width="12.140625" bestFit="1" customWidth="1"/>
    <col min="2055" max="2055" width="12.28515625" customWidth="1"/>
    <col min="2056" max="2056" width="12.140625" bestFit="1" customWidth="1"/>
    <col min="2057" max="2057" width="13.5703125" bestFit="1" customWidth="1"/>
    <col min="2058" max="2058" width="16" customWidth="1"/>
    <col min="2059" max="2059" width="10" customWidth="1"/>
    <col min="2060" max="2100" width="15.7109375" customWidth="1"/>
    <col min="2101" max="2101" width="2.5703125" bestFit="1" customWidth="1"/>
    <col min="2301" max="2301" width="7" customWidth="1"/>
    <col min="2302" max="2302" width="9.28515625" customWidth="1"/>
    <col min="2303" max="2303" width="31.28515625" customWidth="1"/>
    <col min="2304" max="2304" width="58.85546875" customWidth="1"/>
    <col min="2305" max="2306" width="0" hidden="1" customWidth="1"/>
    <col min="2307" max="2307" width="14.7109375" customWidth="1"/>
    <col min="2308" max="2308" width="17.28515625" customWidth="1"/>
    <col min="2309" max="2309" width="26" bestFit="1" customWidth="1"/>
    <col min="2310" max="2310" width="12.140625" bestFit="1" customWidth="1"/>
    <col min="2311" max="2311" width="12.28515625" customWidth="1"/>
    <col min="2312" max="2312" width="12.140625" bestFit="1" customWidth="1"/>
    <col min="2313" max="2313" width="13.5703125" bestFit="1" customWidth="1"/>
    <col min="2314" max="2314" width="16" customWidth="1"/>
    <col min="2315" max="2315" width="10" customWidth="1"/>
    <col min="2316" max="2356" width="15.7109375" customWidth="1"/>
    <col min="2357" max="2357" width="2.5703125" bestFit="1" customWidth="1"/>
    <col min="2557" max="2557" width="7" customWidth="1"/>
    <col min="2558" max="2558" width="9.28515625" customWidth="1"/>
    <col min="2559" max="2559" width="31.28515625" customWidth="1"/>
    <col min="2560" max="2560" width="58.85546875" customWidth="1"/>
    <col min="2561" max="2562" width="0" hidden="1" customWidth="1"/>
    <col min="2563" max="2563" width="14.7109375" customWidth="1"/>
    <col min="2564" max="2564" width="17.28515625" customWidth="1"/>
    <col min="2565" max="2565" width="26" bestFit="1" customWidth="1"/>
    <col min="2566" max="2566" width="12.140625" bestFit="1" customWidth="1"/>
    <col min="2567" max="2567" width="12.28515625" customWidth="1"/>
    <col min="2568" max="2568" width="12.140625" bestFit="1" customWidth="1"/>
    <col min="2569" max="2569" width="13.5703125" bestFit="1" customWidth="1"/>
    <col min="2570" max="2570" width="16" customWidth="1"/>
    <col min="2571" max="2571" width="10" customWidth="1"/>
    <col min="2572" max="2612" width="15.7109375" customWidth="1"/>
    <col min="2613" max="2613" width="2.5703125" bestFit="1" customWidth="1"/>
    <col min="2813" max="2813" width="7" customWidth="1"/>
    <col min="2814" max="2814" width="9.28515625" customWidth="1"/>
    <col min="2815" max="2815" width="31.28515625" customWidth="1"/>
    <col min="2816" max="2816" width="58.85546875" customWidth="1"/>
    <col min="2817" max="2818" width="0" hidden="1" customWidth="1"/>
    <col min="2819" max="2819" width="14.7109375" customWidth="1"/>
    <col min="2820" max="2820" width="17.28515625" customWidth="1"/>
    <col min="2821" max="2821" width="26" bestFit="1" customWidth="1"/>
    <col min="2822" max="2822" width="12.140625" bestFit="1" customWidth="1"/>
    <col min="2823" max="2823" width="12.28515625" customWidth="1"/>
    <col min="2824" max="2824" width="12.140625" bestFit="1" customWidth="1"/>
    <col min="2825" max="2825" width="13.5703125" bestFit="1" customWidth="1"/>
    <col min="2826" max="2826" width="16" customWidth="1"/>
    <col min="2827" max="2827" width="10" customWidth="1"/>
    <col min="2828" max="2868" width="15.7109375" customWidth="1"/>
    <col min="2869" max="2869" width="2.5703125" bestFit="1" customWidth="1"/>
    <col min="3069" max="3069" width="7" customWidth="1"/>
    <col min="3070" max="3070" width="9.28515625" customWidth="1"/>
    <col min="3071" max="3071" width="31.28515625" customWidth="1"/>
    <col min="3072" max="3072" width="58.85546875" customWidth="1"/>
    <col min="3073" max="3074" width="0" hidden="1" customWidth="1"/>
    <col min="3075" max="3075" width="14.7109375" customWidth="1"/>
    <col min="3076" max="3076" width="17.28515625" customWidth="1"/>
    <col min="3077" max="3077" width="26" bestFit="1" customWidth="1"/>
    <col min="3078" max="3078" width="12.140625" bestFit="1" customWidth="1"/>
    <col min="3079" max="3079" width="12.28515625" customWidth="1"/>
    <col min="3080" max="3080" width="12.140625" bestFit="1" customWidth="1"/>
    <col min="3081" max="3081" width="13.5703125" bestFit="1" customWidth="1"/>
    <col min="3082" max="3082" width="16" customWidth="1"/>
    <col min="3083" max="3083" width="10" customWidth="1"/>
    <col min="3084" max="3124" width="15.7109375" customWidth="1"/>
    <col min="3125" max="3125" width="2.5703125" bestFit="1" customWidth="1"/>
    <col min="3325" max="3325" width="7" customWidth="1"/>
    <col min="3326" max="3326" width="9.28515625" customWidth="1"/>
    <col min="3327" max="3327" width="31.28515625" customWidth="1"/>
    <col min="3328" max="3328" width="58.85546875" customWidth="1"/>
    <col min="3329" max="3330" width="0" hidden="1" customWidth="1"/>
    <col min="3331" max="3331" width="14.7109375" customWidth="1"/>
    <col min="3332" max="3332" width="17.28515625" customWidth="1"/>
    <col min="3333" max="3333" width="26" bestFit="1" customWidth="1"/>
    <col min="3334" max="3334" width="12.140625" bestFit="1" customWidth="1"/>
    <col min="3335" max="3335" width="12.28515625" customWidth="1"/>
    <col min="3336" max="3336" width="12.140625" bestFit="1" customWidth="1"/>
    <col min="3337" max="3337" width="13.5703125" bestFit="1" customWidth="1"/>
    <col min="3338" max="3338" width="16" customWidth="1"/>
    <col min="3339" max="3339" width="10" customWidth="1"/>
    <col min="3340" max="3380" width="15.7109375" customWidth="1"/>
    <col min="3381" max="3381" width="2.5703125" bestFit="1" customWidth="1"/>
    <col min="3581" max="3581" width="7" customWidth="1"/>
    <col min="3582" max="3582" width="9.28515625" customWidth="1"/>
    <col min="3583" max="3583" width="31.28515625" customWidth="1"/>
    <col min="3584" max="3584" width="58.85546875" customWidth="1"/>
    <col min="3585" max="3586" width="0" hidden="1" customWidth="1"/>
    <col min="3587" max="3587" width="14.7109375" customWidth="1"/>
    <col min="3588" max="3588" width="17.28515625" customWidth="1"/>
    <col min="3589" max="3589" width="26" bestFit="1" customWidth="1"/>
    <col min="3590" max="3590" width="12.140625" bestFit="1" customWidth="1"/>
    <col min="3591" max="3591" width="12.28515625" customWidth="1"/>
    <col min="3592" max="3592" width="12.140625" bestFit="1" customWidth="1"/>
    <col min="3593" max="3593" width="13.5703125" bestFit="1" customWidth="1"/>
    <col min="3594" max="3594" width="16" customWidth="1"/>
    <col min="3595" max="3595" width="10" customWidth="1"/>
    <col min="3596" max="3636" width="15.7109375" customWidth="1"/>
    <col min="3637" max="3637" width="2.5703125" bestFit="1" customWidth="1"/>
    <col min="3837" max="3837" width="7" customWidth="1"/>
    <col min="3838" max="3838" width="9.28515625" customWidth="1"/>
    <col min="3839" max="3839" width="31.28515625" customWidth="1"/>
    <col min="3840" max="3840" width="58.85546875" customWidth="1"/>
    <col min="3841" max="3842" width="0" hidden="1" customWidth="1"/>
    <col min="3843" max="3843" width="14.7109375" customWidth="1"/>
    <col min="3844" max="3844" width="17.28515625" customWidth="1"/>
    <col min="3845" max="3845" width="26" bestFit="1" customWidth="1"/>
    <col min="3846" max="3846" width="12.140625" bestFit="1" customWidth="1"/>
    <col min="3847" max="3847" width="12.28515625" customWidth="1"/>
    <col min="3848" max="3848" width="12.140625" bestFit="1" customWidth="1"/>
    <col min="3849" max="3849" width="13.5703125" bestFit="1" customWidth="1"/>
    <col min="3850" max="3850" width="16" customWidth="1"/>
    <col min="3851" max="3851" width="10" customWidth="1"/>
    <col min="3852" max="3892" width="15.7109375" customWidth="1"/>
    <col min="3893" max="3893" width="2.5703125" bestFit="1" customWidth="1"/>
    <col min="4093" max="4093" width="7" customWidth="1"/>
    <col min="4094" max="4094" width="9.28515625" customWidth="1"/>
    <col min="4095" max="4095" width="31.28515625" customWidth="1"/>
    <col min="4096" max="4096" width="58.85546875" customWidth="1"/>
    <col min="4097" max="4098" width="0" hidden="1" customWidth="1"/>
    <col min="4099" max="4099" width="14.7109375" customWidth="1"/>
    <col min="4100" max="4100" width="17.28515625" customWidth="1"/>
    <col min="4101" max="4101" width="26" bestFit="1" customWidth="1"/>
    <col min="4102" max="4102" width="12.140625" bestFit="1" customWidth="1"/>
    <col min="4103" max="4103" width="12.28515625" customWidth="1"/>
    <col min="4104" max="4104" width="12.140625" bestFit="1" customWidth="1"/>
    <col min="4105" max="4105" width="13.5703125" bestFit="1" customWidth="1"/>
    <col min="4106" max="4106" width="16" customWidth="1"/>
    <col min="4107" max="4107" width="10" customWidth="1"/>
    <col min="4108" max="4148" width="15.7109375" customWidth="1"/>
    <col min="4149" max="4149" width="2.5703125" bestFit="1" customWidth="1"/>
    <col min="4349" max="4349" width="7" customWidth="1"/>
    <col min="4350" max="4350" width="9.28515625" customWidth="1"/>
    <col min="4351" max="4351" width="31.28515625" customWidth="1"/>
    <col min="4352" max="4352" width="58.85546875" customWidth="1"/>
    <col min="4353" max="4354" width="0" hidden="1" customWidth="1"/>
    <col min="4355" max="4355" width="14.7109375" customWidth="1"/>
    <col min="4356" max="4356" width="17.28515625" customWidth="1"/>
    <col min="4357" max="4357" width="26" bestFit="1" customWidth="1"/>
    <col min="4358" max="4358" width="12.140625" bestFit="1" customWidth="1"/>
    <col min="4359" max="4359" width="12.28515625" customWidth="1"/>
    <col min="4360" max="4360" width="12.140625" bestFit="1" customWidth="1"/>
    <col min="4361" max="4361" width="13.5703125" bestFit="1" customWidth="1"/>
    <col min="4362" max="4362" width="16" customWidth="1"/>
    <col min="4363" max="4363" width="10" customWidth="1"/>
    <col min="4364" max="4404" width="15.7109375" customWidth="1"/>
    <col min="4405" max="4405" width="2.5703125" bestFit="1" customWidth="1"/>
    <col min="4605" max="4605" width="7" customWidth="1"/>
    <col min="4606" max="4606" width="9.28515625" customWidth="1"/>
    <col min="4607" max="4607" width="31.28515625" customWidth="1"/>
    <col min="4608" max="4608" width="58.85546875" customWidth="1"/>
    <col min="4609" max="4610" width="0" hidden="1" customWidth="1"/>
    <col min="4611" max="4611" width="14.7109375" customWidth="1"/>
    <col min="4612" max="4612" width="17.28515625" customWidth="1"/>
    <col min="4613" max="4613" width="26" bestFit="1" customWidth="1"/>
    <col min="4614" max="4614" width="12.140625" bestFit="1" customWidth="1"/>
    <col min="4615" max="4615" width="12.28515625" customWidth="1"/>
    <col min="4616" max="4616" width="12.140625" bestFit="1" customWidth="1"/>
    <col min="4617" max="4617" width="13.5703125" bestFit="1" customWidth="1"/>
    <col min="4618" max="4618" width="16" customWidth="1"/>
    <col min="4619" max="4619" width="10" customWidth="1"/>
    <col min="4620" max="4660" width="15.7109375" customWidth="1"/>
    <col min="4661" max="4661" width="2.5703125" bestFit="1" customWidth="1"/>
    <col min="4861" max="4861" width="7" customWidth="1"/>
    <col min="4862" max="4862" width="9.28515625" customWidth="1"/>
    <col min="4863" max="4863" width="31.28515625" customWidth="1"/>
    <col min="4864" max="4864" width="58.85546875" customWidth="1"/>
    <col min="4865" max="4866" width="0" hidden="1" customWidth="1"/>
    <col min="4867" max="4867" width="14.7109375" customWidth="1"/>
    <col min="4868" max="4868" width="17.28515625" customWidth="1"/>
    <col min="4869" max="4869" width="26" bestFit="1" customWidth="1"/>
    <col min="4870" max="4870" width="12.140625" bestFit="1" customWidth="1"/>
    <col min="4871" max="4871" width="12.28515625" customWidth="1"/>
    <col min="4872" max="4872" width="12.140625" bestFit="1" customWidth="1"/>
    <col min="4873" max="4873" width="13.5703125" bestFit="1" customWidth="1"/>
    <col min="4874" max="4874" width="16" customWidth="1"/>
    <col min="4875" max="4875" width="10" customWidth="1"/>
    <col min="4876" max="4916" width="15.7109375" customWidth="1"/>
    <col min="4917" max="4917" width="2.5703125" bestFit="1" customWidth="1"/>
    <col min="5117" max="5117" width="7" customWidth="1"/>
    <col min="5118" max="5118" width="9.28515625" customWidth="1"/>
    <col min="5119" max="5119" width="31.28515625" customWidth="1"/>
    <col min="5120" max="5120" width="58.85546875" customWidth="1"/>
    <col min="5121" max="5122" width="0" hidden="1" customWidth="1"/>
    <col min="5123" max="5123" width="14.7109375" customWidth="1"/>
    <col min="5124" max="5124" width="17.28515625" customWidth="1"/>
    <col min="5125" max="5125" width="26" bestFit="1" customWidth="1"/>
    <col min="5126" max="5126" width="12.140625" bestFit="1" customWidth="1"/>
    <col min="5127" max="5127" width="12.28515625" customWidth="1"/>
    <col min="5128" max="5128" width="12.140625" bestFit="1" customWidth="1"/>
    <col min="5129" max="5129" width="13.5703125" bestFit="1" customWidth="1"/>
    <col min="5130" max="5130" width="16" customWidth="1"/>
    <col min="5131" max="5131" width="10" customWidth="1"/>
    <col min="5132" max="5172" width="15.7109375" customWidth="1"/>
    <col min="5173" max="5173" width="2.5703125" bestFit="1" customWidth="1"/>
    <col min="5373" max="5373" width="7" customWidth="1"/>
    <col min="5374" max="5374" width="9.28515625" customWidth="1"/>
    <col min="5375" max="5375" width="31.28515625" customWidth="1"/>
    <col min="5376" max="5376" width="58.85546875" customWidth="1"/>
    <col min="5377" max="5378" width="0" hidden="1" customWidth="1"/>
    <col min="5379" max="5379" width="14.7109375" customWidth="1"/>
    <col min="5380" max="5380" width="17.28515625" customWidth="1"/>
    <col min="5381" max="5381" width="26" bestFit="1" customWidth="1"/>
    <col min="5382" max="5382" width="12.140625" bestFit="1" customWidth="1"/>
    <col min="5383" max="5383" width="12.28515625" customWidth="1"/>
    <col min="5384" max="5384" width="12.140625" bestFit="1" customWidth="1"/>
    <col min="5385" max="5385" width="13.5703125" bestFit="1" customWidth="1"/>
    <col min="5386" max="5386" width="16" customWidth="1"/>
    <col min="5387" max="5387" width="10" customWidth="1"/>
    <col min="5388" max="5428" width="15.7109375" customWidth="1"/>
    <col min="5429" max="5429" width="2.5703125" bestFit="1" customWidth="1"/>
    <col min="5629" max="5629" width="7" customWidth="1"/>
    <col min="5630" max="5630" width="9.28515625" customWidth="1"/>
    <col min="5631" max="5631" width="31.28515625" customWidth="1"/>
    <col min="5632" max="5632" width="58.85546875" customWidth="1"/>
    <col min="5633" max="5634" width="0" hidden="1" customWidth="1"/>
    <col min="5635" max="5635" width="14.7109375" customWidth="1"/>
    <col min="5636" max="5636" width="17.28515625" customWidth="1"/>
    <col min="5637" max="5637" width="26" bestFit="1" customWidth="1"/>
    <col min="5638" max="5638" width="12.140625" bestFit="1" customWidth="1"/>
    <col min="5639" max="5639" width="12.28515625" customWidth="1"/>
    <col min="5640" max="5640" width="12.140625" bestFit="1" customWidth="1"/>
    <col min="5641" max="5641" width="13.5703125" bestFit="1" customWidth="1"/>
    <col min="5642" max="5642" width="16" customWidth="1"/>
    <col min="5643" max="5643" width="10" customWidth="1"/>
    <col min="5644" max="5684" width="15.7109375" customWidth="1"/>
    <col min="5685" max="5685" width="2.5703125" bestFit="1" customWidth="1"/>
    <col min="5885" max="5885" width="7" customWidth="1"/>
    <col min="5886" max="5886" width="9.28515625" customWidth="1"/>
    <col min="5887" max="5887" width="31.28515625" customWidth="1"/>
    <col min="5888" max="5888" width="58.85546875" customWidth="1"/>
    <col min="5889" max="5890" width="0" hidden="1" customWidth="1"/>
    <col min="5891" max="5891" width="14.7109375" customWidth="1"/>
    <col min="5892" max="5892" width="17.28515625" customWidth="1"/>
    <col min="5893" max="5893" width="26" bestFit="1" customWidth="1"/>
    <col min="5894" max="5894" width="12.140625" bestFit="1" customWidth="1"/>
    <col min="5895" max="5895" width="12.28515625" customWidth="1"/>
    <col min="5896" max="5896" width="12.140625" bestFit="1" customWidth="1"/>
    <col min="5897" max="5897" width="13.5703125" bestFit="1" customWidth="1"/>
    <col min="5898" max="5898" width="16" customWidth="1"/>
    <col min="5899" max="5899" width="10" customWidth="1"/>
    <col min="5900" max="5940" width="15.7109375" customWidth="1"/>
    <col min="5941" max="5941" width="2.5703125" bestFit="1" customWidth="1"/>
    <col min="6141" max="6141" width="7" customWidth="1"/>
    <col min="6142" max="6142" width="9.28515625" customWidth="1"/>
    <col min="6143" max="6143" width="31.28515625" customWidth="1"/>
    <col min="6144" max="6144" width="58.85546875" customWidth="1"/>
    <col min="6145" max="6146" width="0" hidden="1" customWidth="1"/>
    <col min="6147" max="6147" width="14.7109375" customWidth="1"/>
    <col min="6148" max="6148" width="17.28515625" customWidth="1"/>
    <col min="6149" max="6149" width="26" bestFit="1" customWidth="1"/>
    <col min="6150" max="6150" width="12.140625" bestFit="1" customWidth="1"/>
    <col min="6151" max="6151" width="12.28515625" customWidth="1"/>
    <col min="6152" max="6152" width="12.140625" bestFit="1" customWidth="1"/>
    <col min="6153" max="6153" width="13.5703125" bestFit="1" customWidth="1"/>
    <col min="6154" max="6154" width="16" customWidth="1"/>
    <col min="6155" max="6155" width="10" customWidth="1"/>
    <col min="6156" max="6196" width="15.7109375" customWidth="1"/>
    <col min="6197" max="6197" width="2.5703125" bestFit="1" customWidth="1"/>
    <col min="6397" max="6397" width="7" customWidth="1"/>
    <col min="6398" max="6398" width="9.28515625" customWidth="1"/>
    <col min="6399" max="6399" width="31.28515625" customWidth="1"/>
    <col min="6400" max="6400" width="58.85546875" customWidth="1"/>
    <col min="6401" max="6402" width="0" hidden="1" customWidth="1"/>
    <col min="6403" max="6403" width="14.7109375" customWidth="1"/>
    <col min="6404" max="6404" width="17.28515625" customWidth="1"/>
    <col min="6405" max="6405" width="26" bestFit="1" customWidth="1"/>
    <col min="6406" max="6406" width="12.140625" bestFit="1" customWidth="1"/>
    <col min="6407" max="6407" width="12.28515625" customWidth="1"/>
    <col min="6408" max="6408" width="12.140625" bestFit="1" customWidth="1"/>
    <col min="6409" max="6409" width="13.5703125" bestFit="1" customWidth="1"/>
    <col min="6410" max="6410" width="16" customWidth="1"/>
    <col min="6411" max="6411" width="10" customWidth="1"/>
    <col min="6412" max="6452" width="15.7109375" customWidth="1"/>
    <col min="6453" max="6453" width="2.5703125" bestFit="1" customWidth="1"/>
    <col min="6653" max="6653" width="7" customWidth="1"/>
    <col min="6654" max="6654" width="9.28515625" customWidth="1"/>
    <col min="6655" max="6655" width="31.28515625" customWidth="1"/>
    <col min="6656" max="6656" width="58.85546875" customWidth="1"/>
    <col min="6657" max="6658" width="0" hidden="1" customWidth="1"/>
    <col min="6659" max="6659" width="14.7109375" customWidth="1"/>
    <col min="6660" max="6660" width="17.28515625" customWidth="1"/>
    <col min="6661" max="6661" width="26" bestFit="1" customWidth="1"/>
    <col min="6662" max="6662" width="12.140625" bestFit="1" customWidth="1"/>
    <col min="6663" max="6663" width="12.28515625" customWidth="1"/>
    <col min="6664" max="6664" width="12.140625" bestFit="1" customWidth="1"/>
    <col min="6665" max="6665" width="13.5703125" bestFit="1" customWidth="1"/>
    <col min="6666" max="6666" width="16" customWidth="1"/>
    <col min="6667" max="6667" width="10" customWidth="1"/>
    <col min="6668" max="6708" width="15.7109375" customWidth="1"/>
    <col min="6709" max="6709" width="2.5703125" bestFit="1" customWidth="1"/>
    <col min="6909" max="6909" width="7" customWidth="1"/>
    <col min="6910" max="6910" width="9.28515625" customWidth="1"/>
    <col min="6911" max="6911" width="31.28515625" customWidth="1"/>
    <col min="6912" max="6912" width="58.85546875" customWidth="1"/>
    <col min="6913" max="6914" width="0" hidden="1" customWidth="1"/>
    <col min="6915" max="6915" width="14.7109375" customWidth="1"/>
    <col min="6916" max="6916" width="17.28515625" customWidth="1"/>
    <col min="6917" max="6917" width="26" bestFit="1" customWidth="1"/>
    <col min="6918" max="6918" width="12.140625" bestFit="1" customWidth="1"/>
    <col min="6919" max="6919" width="12.28515625" customWidth="1"/>
    <col min="6920" max="6920" width="12.140625" bestFit="1" customWidth="1"/>
    <col min="6921" max="6921" width="13.5703125" bestFit="1" customWidth="1"/>
    <col min="6922" max="6922" width="16" customWidth="1"/>
    <col min="6923" max="6923" width="10" customWidth="1"/>
    <col min="6924" max="6964" width="15.7109375" customWidth="1"/>
    <col min="6965" max="6965" width="2.5703125" bestFit="1" customWidth="1"/>
    <col min="7165" max="7165" width="7" customWidth="1"/>
    <col min="7166" max="7166" width="9.28515625" customWidth="1"/>
    <col min="7167" max="7167" width="31.28515625" customWidth="1"/>
    <col min="7168" max="7168" width="58.85546875" customWidth="1"/>
    <col min="7169" max="7170" width="0" hidden="1" customWidth="1"/>
    <col min="7171" max="7171" width="14.7109375" customWidth="1"/>
    <col min="7172" max="7172" width="17.28515625" customWidth="1"/>
    <col min="7173" max="7173" width="26" bestFit="1" customWidth="1"/>
    <col min="7174" max="7174" width="12.140625" bestFit="1" customWidth="1"/>
    <col min="7175" max="7175" width="12.28515625" customWidth="1"/>
    <col min="7176" max="7176" width="12.140625" bestFit="1" customWidth="1"/>
    <col min="7177" max="7177" width="13.5703125" bestFit="1" customWidth="1"/>
    <col min="7178" max="7178" width="16" customWidth="1"/>
    <col min="7179" max="7179" width="10" customWidth="1"/>
    <col min="7180" max="7220" width="15.7109375" customWidth="1"/>
    <col min="7221" max="7221" width="2.5703125" bestFit="1" customWidth="1"/>
    <col min="7421" max="7421" width="7" customWidth="1"/>
    <col min="7422" max="7422" width="9.28515625" customWidth="1"/>
    <col min="7423" max="7423" width="31.28515625" customWidth="1"/>
    <col min="7424" max="7424" width="58.85546875" customWidth="1"/>
    <col min="7425" max="7426" width="0" hidden="1" customWidth="1"/>
    <col min="7427" max="7427" width="14.7109375" customWidth="1"/>
    <col min="7428" max="7428" width="17.28515625" customWidth="1"/>
    <col min="7429" max="7429" width="26" bestFit="1" customWidth="1"/>
    <col min="7430" max="7430" width="12.140625" bestFit="1" customWidth="1"/>
    <col min="7431" max="7431" width="12.28515625" customWidth="1"/>
    <col min="7432" max="7432" width="12.140625" bestFit="1" customWidth="1"/>
    <col min="7433" max="7433" width="13.5703125" bestFit="1" customWidth="1"/>
    <col min="7434" max="7434" width="16" customWidth="1"/>
    <col min="7435" max="7435" width="10" customWidth="1"/>
    <col min="7436" max="7476" width="15.7109375" customWidth="1"/>
    <col min="7477" max="7477" width="2.5703125" bestFit="1" customWidth="1"/>
    <col min="7677" max="7677" width="7" customWidth="1"/>
    <col min="7678" max="7678" width="9.28515625" customWidth="1"/>
    <col min="7679" max="7679" width="31.28515625" customWidth="1"/>
    <col min="7680" max="7680" width="58.85546875" customWidth="1"/>
    <col min="7681" max="7682" width="0" hidden="1" customWidth="1"/>
    <col min="7683" max="7683" width="14.7109375" customWidth="1"/>
    <col min="7684" max="7684" width="17.28515625" customWidth="1"/>
    <col min="7685" max="7685" width="26" bestFit="1" customWidth="1"/>
    <col min="7686" max="7686" width="12.140625" bestFit="1" customWidth="1"/>
    <col min="7687" max="7687" width="12.28515625" customWidth="1"/>
    <col min="7688" max="7688" width="12.140625" bestFit="1" customWidth="1"/>
    <col min="7689" max="7689" width="13.5703125" bestFit="1" customWidth="1"/>
    <col min="7690" max="7690" width="16" customWidth="1"/>
    <col min="7691" max="7691" width="10" customWidth="1"/>
    <col min="7692" max="7732" width="15.7109375" customWidth="1"/>
    <col min="7733" max="7733" width="2.5703125" bestFit="1" customWidth="1"/>
    <col min="7933" max="7933" width="7" customWidth="1"/>
    <col min="7934" max="7934" width="9.28515625" customWidth="1"/>
    <col min="7935" max="7935" width="31.28515625" customWidth="1"/>
    <col min="7936" max="7936" width="58.85546875" customWidth="1"/>
    <col min="7937" max="7938" width="0" hidden="1" customWidth="1"/>
    <col min="7939" max="7939" width="14.7109375" customWidth="1"/>
    <col min="7940" max="7940" width="17.28515625" customWidth="1"/>
    <col min="7941" max="7941" width="26" bestFit="1" customWidth="1"/>
    <col min="7942" max="7942" width="12.140625" bestFit="1" customWidth="1"/>
    <col min="7943" max="7943" width="12.28515625" customWidth="1"/>
    <col min="7944" max="7944" width="12.140625" bestFit="1" customWidth="1"/>
    <col min="7945" max="7945" width="13.5703125" bestFit="1" customWidth="1"/>
    <col min="7946" max="7946" width="16" customWidth="1"/>
    <col min="7947" max="7947" width="10" customWidth="1"/>
    <col min="7948" max="7988" width="15.7109375" customWidth="1"/>
    <col min="7989" max="7989" width="2.5703125" bestFit="1" customWidth="1"/>
    <col min="8189" max="8189" width="7" customWidth="1"/>
    <col min="8190" max="8190" width="9.28515625" customWidth="1"/>
    <col min="8191" max="8191" width="31.28515625" customWidth="1"/>
    <col min="8192" max="8192" width="58.85546875" customWidth="1"/>
    <col min="8193" max="8194" width="0" hidden="1" customWidth="1"/>
    <col min="8195" max="8195" width="14.7109375" customWidth="1"/>
    <col min="8196" max="8196" width="17.28515625" customWidth="1"/>
    <col min="8197" max="8197" width="26" bestFit="1" customWidth="1"/>
    <col min="8198" max="8198" width="12.140625" bestFit="1" customWidth="1"/>
    <col min="8199" max="8199" width="12.28515625" customWidth="1"/>
    <col min="8200" max="8200" width="12.140625" bestFit="1" customWidth="1"/>
    <col min="8201" max="8201" width="13.5703125" bestFit="1" customWidth="1"/>
    <col min="8202" max="8202" width="16" customWidth="1"/>
    <col min="8203" max="8203" width="10" customWidth="1"/>
    <col min="8204" max="8244" width="15.7109375" customWidth="1"/>
    <col min="8245" max="8245" width="2.5703125" bestFit="1" customWidth="1"/>
    <col min="8445" max="8445" width="7" customWidth="1"/>
    <col min="8446" max="8446" width="9.28515625" customWidth="1"/>
    <col min="8447" max="8447" width="31.28515625" customWidth="1"/>
    <col min="8448" max="8448" width="58.85546875" customWidth="1"/>
    <col min="8449" max="8450" width="0" hidden="1" customWidth="1"/>
    <col min="8451" max="8451" width="14.7109375" customWidth="1"/>
    <col min="8452" max="8452" width="17.28515625" customWidth="1"/>
    <col min="8453" max="8453" width="26" bestFit="1" customWidth="1"/>
    <col min="8454" max="8454" width="12.140625" bestFit="1" customWidth="1"/>
    <col min="8455" max="8455" width="12.28515625" customWidth="1"/>
    <col min="8456" max="8456" width="12.140625" bestFit="1" customWidth="1"/>
    <col min="8457" max="8457" width="13.5703125" bestFit="1" customWidth="1"/>
    <col min="8458" max="8458" width="16" customWidth="1"/>
    <col min="8459" max="8459" width="10" customWidth="1"/>
    <col min="8460" max="8500" width="15.7109375" customWidth="1"/>
    <col min="8501" max="8501" width="2.5703125" bestFit="1" customWidth="1"/>
    <col min="8701" max="8701" width="7" customWidth="1"/>
    <col min="8702" max="8702" width="9.28515625" customWidth="1"/>
    <col min="8703" max="8703" width="31.28515625" customWidth="1"/>
    <col min="8704" max="8704" width="58.85546875" customWidth="1"/>
    <col min="8705" max="8706" width="0" hidden="1" customWidth="1"/>
    <col min="8707" max="8707" width="14.7109375" customWidth="1"/>
    <col min="8708" max="8708" width="17.28515625" customWidth="1"/>
    <col min="8709" max="8709" width="26" bestFit="1" customWidth="1"/>
    <col min="8710" max="8710" width="12.140625" bestFit="1" customWidth="1"/>
    <col min="8711" max="8711" width="12.28515625" customWidth="1"/>
    <col min="8712" max="8712" width="12.140625" bestFit="1" customWidth="1"/>
    <col min="8713" max="8713" width="13.5703125" bestFit="1" customWidth="1"/>
    <col min="8714" max="8714" width="16" customWidth="1"/>
    <col min="8715" max="8715" width="10" customWidth="1"/>
    <col min="8716" max="8756" width="15.7109375" customWidth="1"/>
    <col min="8757" max="8757" width="2.5703125" bestFit="1" customWidth="1"/>
    <col min="8957" max="8957" width="7" customWidth="1"/>
    <col min="8958" max="8958" width="9.28515625" customWidth="1"/>
    <col min="8959" max="8959" width="31.28515625" customWidth="1"/>
    <col min="8960" max="8960" width="58.85546875" customWidth="1"/>
    <col min="8961" max="8962" width="0" hidden="1" customWidth="1"/>
    <col min="8963" max="8963" width="14.7109375" customWidth="1"/>
    <col min="8964" max="8964" width="17.28515625" customWidth="1"/>
    <col min="8965" max="8965" width="26" bestFit="1" customWidth="1"/>
    <col min="8966" max="8966" width="12.140625" bestFit="1" customWidth="1"/>
    <col min="8967" max="8967" width="12.28515625" customWidth="1"/>
    <col min="8968" max="8968" width="12.140625" bestFit="1" customWidth="1"/>
    <col min="8969" max="8969" width="13.5703125" bestFit="1" customWidth="1"/>
    <col min="8970" max="8970" width="16" customWidth="1"/>
    <col min="8971" max="8971" width="10" customWidth="1"/>
    <col min="8972" max="9012" width="15.7109375" customWidth="1"/>
    <col min="9013" max="9013" width="2.5703125" bestFit="1" customWidth="1"/>
    <col min="9213" max="9213" width="7" customWidth="1"/>
    <col min="9214" max="9214" width="9.28515625" customWidth="1"/>
    <col min="9215" max="9215" width="31.28515625" customWidth="1"/>
    <col min="9216" max="9216" width="58.85546875" customWidth="1"/>
    <col min="9217" max="9218" width="0" hidden="1" customWidth="1"/>
    <col min="9219" max="9219" width="14.7109375" customWidth="1"/>
    <col min="9220" max="9220" width="17.28515625" customWidth="1"/>
    <col min="9221" max="9221" width="26" bestFit="1" customWidth="1"/>
    <col min="9222" max="9222" width="12.140625" bestFit="1" customWidth="1"/>
    <col min="9223" max="9223" width="12.28515625" customWidth="1"/>
    <col min="9224" max="9224" width="12.140625" bestFit="1" customWidth="1"/>
    <col min="9225" max="9225" width="13.5703125" bestFit="1" customWidth="1"/>
    <col min="9226" max="9226" width="16" customWidth="1"/>
    <col min="9227" max="9227" width="10" customWidth="1"/>
    <col min="9228" max="9268" width="15.7109375" customWidth="1"/>
    <col min="9269" max="9269" width="2.5703125" bestFit="1" customWidth="1"/>
    <col min="9469" max="9469" width="7" customWidth="1"/>
    <col min="9470" max="9470" width="9.28515625" customWidth="1"/>
    <col min="9471" max="9471" width="31.28515625" customWidth="1"/>
    <col min="9472" max="9472" width="58.85546875" customWidth="1"/>
    <col min="9473" max="9474" width="0" hidden="1" customWidth="1"/>
    <col min="9475" max="9475" width="14.7109375" customWidth="1"/>
    <col min="9476" max="9476" width="17.28515625" customWidth="1"/>
    <col min="9477" max="9477" width="26" bestFit="1" customWidth="1"/>
    <col min="9478" max="9478" width="12.140625" bestFit="1" customWidth="1"/>
    <col min="9479" max="9479" width="12.28515625" customWidth="1"/>
    <col min="9480" max="9480" width="12.140625" bestFit="1" customWidth="1"/>
    <col min="9481" max="9481" width="13.5703125" bestFit="1" customWidth="1"/>
    <col min="9482" max="9482" width="16" customWidth="1"/>
    <col min="9483" max="9483" width="10" customWidth="1"/>
    <col min="9484" max="9524" width="15.7109375" customWidth="1"/>
    <col min="9525" max="9525" width="2.5703125" bestFit="1" customWidth="1"/>
    <col min="9725" max="9725" width="7" customWidth="1"/>
    <col min="9726" max="9726" width="9.28515625" customWidth="1"/>
    <col min="9727" max="9727" width="31.28515625" customWidth="1"/>
    <col min="9728" max="9728" width="58.85546875" customWidth="1"/>
    <col min="9729" max="9730" width="0" hidden="1" customWidth="1"/>
    <col min="9731" max="9731" width="14.7109375" customWidth="1"/>
    <col min="9732" max="9732" width="17.28515625" customWidth="1"/>
    <col min="9733" max="9733" width="26" bestFit="1" customWidth="1"/>
    <col min="9734" max="9734" width="12.140625" bestFit="1" customWidth="1"/>
    <col min="9735" max="9735" width="12.28515625" customWidth="1"/>
    <col min="9736" max="9736" width="12.140625" bestFit="1" customWidth="1"/>
    <col min="9737" max="9737" width="13.5703125" bestFit="1" customWidth="1"/>
    <col min="9738" max="9738" width="16" customWidth="1"/>
    <col min="9739" max="9739" width="10" customWidth="1"/>
    <col min="9740" max="9780" width="15.7109375" customWidth="1"/>
    <col min="9781" max="9781" width="2.5703125" bestFit="1" customWidth="1"/>
    <col min="9981" max="9981" width="7" customWidth="1"/>
    <col min="9982" max="9982" width="9.28515625" customWidth="1"/>
    <col min="9983" max="9983" width="31.28515625" customWidth="1"/>
    <col min="9984" max="9984" width="58.85546875" customWidth="1"/>
    <col min="9985" max="9986" width="0" hidden="1" customWidth="1"/>
    <col min="9987" max="9987" width="14.7109375" customWidth="1"/>
    <col min="9988" max="9988" width="17.28515625" customWidth="1"/>
    <col min="9989" max="9989" width="26" bestFit="1" customWidth="1"/>
    <col min="9990" max="9990" width="12.140625" bestFit="1" customWidth="1"/>
    <col min="9991" max="9991" width="12.28515625" customWidth="1"/>
    <col min="9992" max="9992" width="12.140625" bestFit="1" customWidth="1"/>
    <col min="9993" max="9993" width="13.5703125" bestFit="1" customWidth="1"/>
    <col min="9994" max="9994" width="16" customWidth="1"/>
    <col min="9995" max="9995" width="10" customWidth="1"/>
    <col min="9996" max="10036" width="15.7109375" customWidth="1"/>
    <col min="10037" max="10037" width="2.5703125" bestFit="1" customWidth="1"/>
    <col min="10237" max="10237" width="7" customWidth="1"/>
    <col min="10238" max="10238" width="9.28515625" customWidth="1"/>
    <col min="10239" max="10239" width="31.28515625" customWidth="1"/>
    <col min="10240" max="10240" width="58.85546875" customWidth="1"/>
    <col min="10241" max="10242" width="0" hidden="1" customWidth="1"/>
    <col min="10243" max="10243" width="14.7109375" customWidth="1"/>
    <col min="10244" max="10244" width="17.28515625" customWidth="1"/>
    <col min="10245" max="10245" width="26" bestFit="1" customWidth="1"/>
    <col min="10246" max="10246" width="12.140625" bestFit="1" customWidth="1"/>
    <col min="10247" max="10247" width="12.28515625" customWidth="1"/>
    <col min="10248" max="10248" width="12.140625" bestFit="1" customWidth="1"/>
    <col min="10249" max="10249" width="13.5703125" bestFit="1" customWidth="1"/>
    <col min="10250" max="10250" width="16" customWidth="1"/>
    <col min="10251" max="10251" width="10" customWidth="1"/>
    <col min="10252" max="10292" width="15.7109375" customWidth="1"/>
    <col min="10293" max="10293" width="2.5703125" bestFit="1" customWidth="1"/>
    <col min="10493" max="10493" width="7" customWidth="1"/>
    <col min="10494" max="10494" width="9.28515625" customWidth="1"/>
    <col min="10495" max="10495" width="31.28515625" customWidth="1"/>
    <col min="10496" max="10496" width="58.85546875" customWidth="1"/>
    <col min="10497" max="10498" width="0" hidden="1" customWidth="1"/>
    <col min="10499" max="10499" width="14.7109375" customWidth="1"/>
    <col min="10500" max="10500" width="17.28515625" customWidth="1"/>
    <col min="10501" max="10501" width="26" bestFit="1" customWidth="1"/>
    <col min="10502" max="10502" width="12.140625" bestFit="1" customWidth="1"/>
    <col min="10503" max="10503" width="12.28515625" customWidth="1"/>
    <col min="10504" max="10504" width="12.140625" bestFit="1" customWidth="1"/>
    <col min="10505" max="10505" width="13.5703125" bestFit="1" customWidth="1"/>
    <col min="10506" max="10506" width="16" customWidth="1"/>
    <col min="10507" max="10507" width="10" customWidth="1"/>
    <col min="10508" max="10548" width="15.7109375" customWidth="1"/>
    <col min="10549" max="10549" width="2.5703125" bestFit="1" customWidth="1"/>
    <col min="10749" max="10749" width="7" customWidth="1"/>
    <col min="10750" max="10750" width="9.28515625" customWidth="1"/>
    <col min="10751" max="10751" width="31.28515625" customWidth="1"/>
    <col min="10752" max="10752" width="58.85546875" customWidth="1"/>
    <col min="10753" max="10754" width="0" hidden="1" customWidth="1"/>
    <col min="10755" max="10755" width="14.7109375" customWidth="1"/>
    <col min="10756" max="10756" width="17.28515625" customWidth="1"/>
    <col min="10757" max="10757" width="26" bestFit="1" customWidth="1"/>
    <col min="10758" max="10758" width="12.140625" bestFit="1" customWidth="1"/>
    <col min="10759" max="10759" width="12.28515625" customWidth="1"/>
    <col min="10760" max="10760" width="12.140625" bestFit="1" customWidth="1"/>
    <col min="10761" max="10761" width="13.5703125" bestFit="1" customWidth="1"/>
    <col min="10762" max="10762" width="16" customWidth="1"/>
    <col min="10763" max="10763" width="10" customWidth="1"/>
    <col min="10764" max="10804" width="15.7109375" customWidth="1"/>
    <col min="10805" max="10805" width="2.5703125" bestFit="1" customWidth="1"/>
    <col min="11005" max="11005" width="7" customWidth="1"/>
    <col min="11006" max="11006" width="9.28515625" customWidth="1"/>
    <col min="11007" max="11007" width="31.28515625" customWidth="1"/>
    <col min="11008" max="11008" width="58.85546875" customWidth="1"/>
    <col min="11009" max="11010" width="0" hidden="1" customWidth="1"/>
    <col min="11011" max="11011" width="14.7109375" customWidth="1"/>
    <col min="11012" max="11012" width="17.28515625" customWidth="1"/>
    <col min="11013" max="11013" width="26" bestFit="1" customWidth="1"/>
    <col min="11014" max="11014" width="12.140625" bestFit="1" customWidth="1"/>
    <col min="11015" max="11015" width="12.28515625" customWidth="1"/>
    <col min="11016" max="11016" width="12.140625" bestFit="1" customWidth="1"/>
    <col min="11017" max="11017" width="13.5703125" bestFit="1" customWidth="1"/>
    <col min="11018" max="11018" width="16" customWidth="1"/>
    <col min="11019" max="11019" width="10" customWidth="1"/>
    <col min="11020" max="11060" width="15.7109375" customWidth="1"/>
    <col min="11061" max="11061" width="2.5703125" bestFit="1" customWidth="1"/>
    <col min="11261" max="11261" width="7" customWidth="1"/>
    <col min="11262" max="11262" width="9.28515625" customWidth="1"/>
    <col min="11263" max="11263" width="31.28515625" customWidth="1"/>
    <col min="11264" max="11264" width="58.85546875" customWidth="1"/>
    <col min="11265" max="11266" width="0" hidden="1" customWidth="1"/>
    <col min="11267" max="11267" width="14.7109375" customWidth="1"/>
    <col min="11268" max="11268" width="17.28515625" customWidth="1"/>
    <col min="11269" max="11269" width="26" bestFit="1" customWidth="1"/>
    <col min="11270" max="11270" width="12.140625" bestFit="1" customWidth="1"/>
    <col min="11271" max="11271" width="12.28515625" customWidth="1"/>
    <col min="11272" max="11272" width="12.140625" bestFit="1" customWidth="1"/>
    <col min="11273" max="11273" width="13.5703125" bestFit="1" customWidth="1"/>
    <col min="11274" max="11274" width="16" customWidth="1"/>
    <col min="11275" max="11275" width="10" customWidth="1"/>
    <col min="11276" max="11316" width="15.7109375" customWidth="1"/>
    <col min="11317" max="11317" width="2.5703125" bestFit="1" customWidth="1"/>
    <col min="11517" max="11517" width="7" customWidth="1"/>
    <col min="11518" max="11518" width="9.28515625" customWidth="1"/>
    <col min="11519" max="11519" width="31.28515625" customWidth="1"/>
    <col min="11520" max="11520" width="58.85546875" customWidth="1"/>
    <col min="11521" max="11522" width="0" hidden="1" customWidth="1"/>
    <col min="11523" max="11523" width="14.7109375" customWidth="1"/>
    <col min="11524" max="11524" width="17.28515625" customWidth="1"/>
    <col min="11525" max="11525" width="26" bestFit="1" customWidth="1"/>
    <col min="11526" max="11526" width="12.140625" bestFit="1" customWidth="1"/>
    <col min="11527" max="11527" width="12.28515625" customWidth="1"/>
    <col min="11528" max="11528" width="12.140625" bestFit="1" customWidth="1"/>
    <col min="11529" max="11529" width="13.5703125" bestFit="1" customWidth="1"/>
    <col min="11530" max="11530" width="16" customWidth="1"/>
    <col min="11531" max="11531" width="10" customWidth="1"/>
    <col min="11532" max="11572" width="15.7109375" customWidth="1"/>
    <col min="11573" max="11573" width="2.5703125" bestFit="1" customWidth="1"/>
    <col min="11773" max="11773" width="7" customWidth="1"/>
    <col min="11774" max="11774" width="9.28515625" customWidth="1"/>
    <col min="11775" max="11775" width="31.28515625" customWidth="1"/>
    <col min="11776" max="11776" width="58.85546875" customWidth="1"/>
    <col min="11777" max="11778" width="0" hidden="1" customWidth="1"/>
    <col min="11779" max="11779" width="14.7109375" customWidth="1"/>
    <col min="11780" max="11780" width="17.28515625" customWidth="1"/>
    <col min="11781" max="11781" width="26" bestFit="1" customWidth="1"/>
    <col min="11782" max="11782" width="12.140625" bestFit="1" customWidth="1"/>
    <col min="11783" max="11783" width="12.28515625" customWidth="1"/>
    <col min="11784" max="11784" width="12.140625" bestFit="1" customWidth="1"/>
    <col min="11785" max="11785" width="13.5703125" bestFit="1" customWidth="1"/>
    <col min="11786" max="11786" width="16" customWidth="1"/>
    <col min="11787" max="11787" width="10" customWidth="1"/>
    <col min="11788" max="11828" width="15.7109375" customWidth="1"/>
    <col min="11829" max="11829" width="2.5703125" bestFit="1" customWidth="1"/>
    <col min="12029" max="12029" width="7" customWidth="1"/>
    <col min="12030" max="12030" width="9.28515625" customWidth="1"/>
    <col min="12031" max="12031" width="31.28515625" customWidth="1"/>
    <col min="12032" max="12032" width="58.85546875" customWidth="1"/>
    <col min="12033" max="12034" width="0" hidden="1" customWidth="1"/>
    <col min="12035" max="12035" width="14.7109375" customWidth="1"/>
    <col min="12036" max="12036" width="17.28515625" customWidth="1"/>
    <col min="12037" max="12037" width="26" bestFit="1" customWidth="1"/>
    <col min="12038" max="12038" width="12.140625" bestFit="1" customWidth="1"/>
    <col min="12039" max="12039" width="12.28515625" customWidth="1"/>
    <col min="12040" max="12040" width="12.140625" bestFit="1" customWidth="1"/>
    <col min="12041" max="12041" width="13.5703125" bestFit="1" customWidth="1"/>
    <col min="12042" max="12042" width="16" customWidth="1"/>
    <col min="12043" max="12043" width="10" customWidth="1"/>
    <col min="12044" max="12084" width="15.7109375" customWidth="1"/>
    <col min="12085" max="12085" width="2.5703125" bestFit="1" customWidth="1"/>
    <col min="12285" max="12285" width="7" customWidth="1"/>
    <col min="12286" max="12286" width="9.28515625" customWidth="1"/>
    <col min="12287" max="12287" width="31.28515625" customWidth="1"/>
    <col min="12288" max="12288" width="58.85546875" customWidth="1"/>
    <col min="12289" max="12290" width="0" hidden="1" customWidth="1"/>
    <col min="12291" max="12291" width="14.7109375" customWidth="1"/>
    <col min="12292" max="12292" width="17.28515625" customWidth="1"/>
    <col min="12293" max="12293" width="26" bestFit="1" customWidth="1"/>
    <col min="12294" max="12294" width="12.140625" bestFit="1" customWidth="1"/>
    <col min="12295" max="12295" width="12.28515625" customWidth="1"/>
    <col min="12296" max="12296" width="12.140625" bestFit="1" customWidth="1"/>
    <col min="12297" max="12297" width="13.5703125" bestFit="1" customWidth="1"/>
    <col min="12298" max="12298" width="16" customWidth="1"/>
    <col min="12299" max="12299" width="10" customWidth="1"/>
    <col min="12300" max="12340" width="15.7109375" customWidth="1"/>
    <col min="12341" max="12341" width="2.5703125" bestFit="1" customWidth="1"/>
    <col min="12541" max="12541" width="7" customWidth="1"/>
    <col min="12542" max="12542" width="9.28515625" customWidth="1"/>
    <col min="12543" max="12543" width="31.28515625" customWidth="1"/>
    <col min="12544" max="12544" width="58.85546875" customWidth="1"/>
    <col min="12545" max="12546" width="0" hidden="1" customWidth="1"/>
    <col min="12547" max="12547" width="14.7109375" customWidth="1"/>
    <col min="12548" max="12548" width="17.28515625" customWidth="1"/>
    <col min="12549" max="12549" width="26" bestFit="1" customWidth="1"/>
    <col min="12550" max="12550" width="12.140625" bestFit="1" customWidth="1"/>
    <col min="12551" max="12551" width="12.28515625" customWidth="1"/>
    <col min="12552" max="12552" width="12.140625" bestFit="1" customWidth="1"/>
    <col min="12553" max="12553" width="13.5703125" bestFit="1" customWidth="1"/>
    <col min="12554" max="12554" width="16" customWidth="1"/>
    <col min="12555" max="12555" width="10" customWidth="1"/>
    <col min="12556" max="12596" width="15.7109375" customWidth="1"/>
    <col min="12597" max="12597" width="2.5703125" bestFit="1" customWidth="1"/>
    <col min="12797" max="12797" width="7" customWidth="1"/>
    <col min="12798" max="12798" width="9.28515625" customWidth="1"/>
    <col min="12799" max="12799" width="31.28515625" customWidth="1"/>
    <col min="12800" max="12800" width="58.85546875" customWidth="1"/>
    <col min="12801" max="12802" width="0" hidden="1" customWidth="1"/>
    <col min="12803" max="12803" width="14.7109375" customWidth="1"/>
    <col min="12804" max="12804" width="17.28515625" customWidth="1"/>
    <col min="12805" max="12805" width="26" bestFit="1" customWidth="1"/>
    <col min="12806" max="12806" width="12.140625" bestFit="1" customWidth="1"/>
    <col min="12807" max="12807" width="12.28515625" customWidth="1"/>
    <col min="12808" max="12808" width="12.140625" bestFit="1" customWidth="1"/>
    <col min="12809" max="12809" width="13.5703125" bestFit="1" customWidth="1"/>
    <col min="12810" max="12810" width="16" customWidth="1"/>
    <col min="12811" max="12811" width="10" customWidth="1"/>
    <col min="12812" max="12852" width="15.7109375" customWidth="1"/>
    <col min="12853" max="12853" width="2.5703125" bestFit="1" customWidth="1"/>
    <col min="13053" max="13053" width="7" customWidth="1"/>
    <col min="13054" max="13054" width="9.28515625" customWidth="1"/>
    <col min="13055" max="13055" width="31.28515625" customWidth="1"/>
    <col min="13056" max="13056" width="58.85546875" customWidth="1"/>
    <col min="13057" max="13058" width="0" hidden="1" customWidth="1"/>
    <col min="13059" max="13059" width="14.7109375" customWidth="1"/>
    <col min="13060" max="13060" width="17.28515625" customWidth="1"/>
    <col min="13061" max="13061" width="26" bestFit="1" customWidth="1"/>
    <col min="13062" max="13062" width="12.140625" bestFit="1" customWidth="1"/>
    <col min="13063" max="13063" width="12.28515625" customWidth="1"/>
    <col min="13064" max="13064" width="12.140625" bestFit="1" customWidth="1"/>
    <col min="13065" max="13065" width="13.5703125" bestFit="1" customWidth="1"/>
    <col min="13066" max="13066" width="16" customWidth="1"/>
    <col min="13067" max="13067" width="10" customWidth="1"/>
    <col min="13068" max="13108" width="15.7109375" customWidth="1"/>
    <col min="13109" max="13109" width="2.5703125" bestFit="1" customWidth="1"/>
    <col min="13309" max="13309" width="7" customWidth="1"/>
    <col min="13310" max="13310" width="9.28515625" customWidth="1"/>
    <col min="13311" max="13311" width="31.28515625" customWidth="1"/>
    <col min="13312" max="13312" width="58.85546875" customWidth="1"/>
    <col min="13313" max="13314" width="0" hidden="1" customWidth="1"/>
    <col min="13315" max="13315" width="14.7109375" customWidth="1"/>
    <col min="13316" max="13316" width="17.28515625" customWidth="1"/>
    <col min="13317" max="13317" width="26" bestFit="1" customWidth="1"/>
    <col min="13318" max="13318" width="12.140625" bestFit="1" customWidth="1"/>
    <col min="13319" max="13319" width="12.28515625" customWidth="1"/>
    <col min="13320" max="13320" width="12.140625" bestFit="1" customWidth="1"/>
    <col min="13321" max="13321" width="13.5703125" bestFit="1" customWidth="1"/>
    <col min="13322" max="13322" width="16" customWidth="1"/>
    <col min="13323" max="13323" width="10" customWidth="1"/>
    <col min="13324" max="13364" width="15.7109375" customWidth="1"/>
    <col min="13365" max="13365" width="2.5703125" bestFit="1" customWidth="1"/>
    <col min="13565" max="13565" width="7" customWidth="1"/>
    <col min="13566" max="13566" width="9.28515625" customWidth="1"/>
    <col min="13567" max="13567" width="31.28515625" customWidth="1"/>
    <col min="13568" max="13568" width="58.85546875" customWidth="1"/>
    <col min="13569" max="13570" width="0" hidden="1" customWidth="1"/>
    <col min="13571" max="13571" width="14.7109375" customWidth="1"/>
    <col min="13572" max="13572" width="17.28515625" customWidth="1"/>
    <col min="13573" max="13573" width="26" bestFit="1" customWidth="1"/>
    <col min="13574" max="13574" width="12.140625" bestFit="1" customWidth="1"/>
    <col min="13575" max="13575" width="12.28515625" customWidth="1"/>
    <col min="13576" max="13576" width="12.140625" bestFit="1" customWidth="1"/>
    <col min="13577" max="13577" width="13.5703125" bestFit="1" customWidth="1"/>
    <col min="13578" max="13578" width="16" customWidth="1"/>
    <col min="13579" max="13579" width="10" customWidth="1"/>
    <col min="13580" max="13620" width="15.7109375" customWidth="1"/>
    <col min="13621" max="13621" width="2.5703125" bestFit="1" customWidth="1"/>
    <col min="13821" max="13821" width="7" customWidth="1"/>
    <col min="13822" max="13822" width="9.28515625" customWidth="1"/>
    <col min="13823" max="13823" width="31.28515625" customWidth="1"/>
    <col min="13824" max="13824" width="58.85546875" customWidth="1"/>
    <col min="13825" max="13826" width="0" hidden="1" customWidth="1"/>
    <col min="13827" max="13827" width="14.7109375" customWidth="1"/>
    <col min="13828" max="13828" width="17.28515625" customWidth="1"/>
    <col min="13829" max="13829" width="26" bestFit="1" customWidth="1"/>
    <col min="13830" max="13830" width="12.140625" bestFit="1" customWidth="1"/>
    <col min="13831" max="13831" width="12.28515625" customWidth="1"/>
    <col min="13832" max="13832" width="12.140625" bestFit="1" customWidth="1"/>
    <col min="13833" max="13833" width="13.5703125" bestFit="1" customWidth="1"/>
    <col min="13834" max="13834" width="16" customWidth="1"/>
    <col min="13835" max="13835" width="10" customWidth="1"/>
    <col min="13836" max="13876" width="15.7109375" customWidth="1"/>
    <col min="13877" max="13877" width="2.5703125" bestFit="1" customWidth="1"/>
    <col min="14077" max="14077" width="7" customWidth="1"/>
    <col min="14078" max="14078" width="9.28515625" customWidth="1"/>
    <col min="14079" max="14079" width="31.28515625" customWidth="1"/>
    <col min="14080" max="14080" width="58.85546875" customWidth="1"/>
    <col min="14081" max="14082" width="0" hidden="1" customWidth="1"/>
    <col min="14083" max="14083" width="14.7109375" customWidth="1"/>
    <col min="14084" max="14084" width="17.28515625" customWidth="1"/>
    <col min="14085" max="14085" width="26" bestFit="1" customWidth="1"/>
    <col min="14086" max="14086" width="12.140625" bestFit="1" customWidth="1"/>
    <col min="14087" max="14087" width="12.28515625" customWidth="1"/>
    <col min="14088" max="14088" width="12.140625" bestFit="1" customWidth="1"/>
    <col min="14089" max="14089" width="13.5703125" bestFit="1" customWidth="1"/>
    <col min="14090" max="14090" width="16" customWidth="1"/>
    <col min="14091" max="14091" width="10" customWidth="1"/>
    <col min="14092" max="14132" width="15.7109375" customWidth="1"/>
    <col min="14133" max="14133" width="2.5703125" bestFit="1" customWidth="1"/>
    <col min="14333" max="14333" width="7" customWidth="1"/>
    <col min="14334" max="14334" width="9.28515625" customWidth="1"/>
    <col min="14335" max="14335" width="31.28515625" customWidth="1"/>
    <col min="14336" max="14336" width="58.85546875" customWidth="1"/>
    <col min="14337" max="14338" width="0" hidden="1" customWidth="1"/>
    <col min="14339" max="14339" width="14.7109375" customWidth="1"/>
    <col min="14340" max="14340" width="17.28515625" customWidth="1"/>
    <col min="14341" max="14341" width="26" bestFit="1" customWidth="1"/>
    <col min="14342" max="14342" width="12.140625" bestFit="1" customWidth="1"/>
    <col min="14343" max="14343" width="12.28515625" customWidth="1"/>
    <col min="14344" max="14344" width="12.140625" bestFit="1" customWidth="1"/>
    <col min="14345" max="14345" width="13.5703125" bestFit="1" customWidth="1"/>
    <col min="14346" max="14346" width="16" customWidth="1"/>
    <col min="14347" max="14347" width="10" customWidth="1"/>
    <col min="14348" max="14388" width="15.7109375" customWidth="1"/>
    <col min="14389" max="14389" width="2.5703125" bestFit="1" customWidth="1"/>
    <col min="14589" max="14589" width="7" customWidth="1"/>
    <col min="14590" max="14590" width="9.28515625" customWidth="1"/>
    <col min="14591" max="14591" width="31.28515625" customWidth="1"/>
    <col min="14592" max="14592" width="58.85546875" customWidth="1"/>
    <col min="14593" max="14594" width="0" hidden="1" customWidth="1"/>
    <col min="14595" max="14595" width="14.7109375" customWidth="1"/>
    <col min="14596" max="14596" width="17.28515625" customWidth="1"/>
    <col min="14597" max="14597" width="26" bestFit="1" customWidth="1"/>
    <col min="14598" max="14598" width="12.140625" bestFit="1" customWidth="1"/>
    <col min="14599" max="14599" width="12.28515625" customWidth="1"/>
    <col min="14600" max="14600" width="12.140625" bestFit="1" customWidth="1"/>
    <col min="14601" max="14601" width="13.5703125" bestFit="1" customWidth="1"/>
    <col min="14602" max="14602" width="16" customWidth="1"/>
    <col min="14603" max="14603" width="10" customWidth="1"/>
    <col min="14604" max="14644" width="15.7109375" customWidth="1"/>
    <col min="14645" max="14645" width="2.5703125" bestFit="1" customWidth="1"/>
    <col min="14845" max="14845" width="7" customWidth="1"/>
    <col min="14846" max="14846" width="9.28515625" customWidth="1"/>
    <col min="14847" max="14847" width="31.28515625" customWidth="1"/>
    <col min="14848" max="14848" width="58.85546875" customWidth="1"/>
    <col min="14849" max="14850" width="0" hidden="1" customWidth="1"/>
    <col min="14851" max="14851" width="14.7109375" customWidth="1"/>
    <col min="14852" max="14852" width="17.28515625" customWidth="1"/>
    <col min="14853" max="14853" width="26" bestFit="1" customWidth="1"/>
    <col min="14854" max="14854" width="12.140625" bestFit="1" customWidth="1"/>
    <col min="14855" max="14855" width="12.28515625" customWidth="1"/>
    <col min="14856" max="14856" width="12.140625" bestFit="1" customWidth="1"/>
    <col min="14857" max="14857" width="13.5703125" bestFit="1" customWidth="1"/>
    <col min="14858" max="14858" width="16" customWidth="1"/>
    <col min="14859" max="14859" width="10" customWidth="1"/>
    <col min="14860" max="14900" width="15.7109375" customWidth="1"/>
    <col min="14901" max="14901" width="2.5703125" bestFit="1" customWidth="1"/>
    <col min="15101" max="15101" width="7" customWidth="1"/>
    <col min="15102" max="15102" width="9.28515625" customWidth="1"/>
    <col min="15103" max="15103" width="31.28515625" customWidth="1"/>
    <col min="15104" max="15104" width="58.85546875" customWidth="1"/>
    <col min="15105" max="15106" width="0" hidden="1" customWidth="1"/>
    <col min="15107" max="15107" width="14.7109375" customWidth="1"/>
    <col min="15108" max="15108" width="17.28515625" customWidth="1"/>
    <col min="15109" max="15109" width="26" bestFit="1" customWidth="1"/>
    <col min="15110" max="15110" width="12.140625" bestFit="1" customWidth="1"/>
    <col min="15111" max="15111" width="12.28515625" customWidth="1"/>
    <col min="15112" max="15112" width="12.140625" bestFit="1" customWidth="1"/>
    <col min="15113" max="15113" width="13.5703125" bestFit="1" customWidth="1"/>
    <col min="15114" max="15114" width="16" customWidth="1"/>
    <col min="15115" max="15115" width="10" customWidth="1"/>
    <col min="15116" max="15156" width="15.7109375" customWidth="1"/>
    <col min="15157" max="15157" width="2.5703125" bestFit="1" customWidth="1"/>
    <col min="15357" max="15357" width="7" customWidth="1"/>
    <col min="15358" max="15358" width="9.28515625" customWidth="1"/>
    <col min="15359" max="15359" width="31.28515625" customWidth="1"/>
    <col min="15360" max="15360" width="58.85546875" customWidth="1"/>
    <col min="15361" max="15362" width="0" hidden="1" customWidth="1"/>
    <col min="15363" max="15363" width="14.7109375" customWidth="1"/>
    <col min="15364" max="15364" width="17.28515625" customWidth="1"/>
    <col min="15365" max="15365" width="26" bestFit="1" customWidth="1"/>
    <col min="15366" max="15366" width="12.140625" bestFit="1" customWidth="1"/>
    <col min="15367" max="15367" width="12.28515625" customWidth="1"/>
    <col min="15368" max="15368" width="12.140625" bestFit="1" customWidth="1"/>
    <col min="15369" max="15369" width="13.5703125" bestFit="1" customWidth="1"/>
    <col min="15370" max="15370" width="16" customWidth="1"/>
    <col min="15371" max="15371" width="10" customWidth="1"/>
    <col min="15372" max="15412" width="15.7109375" customWidth="1"/>
    <col min="15413" max="15413" width="2.5703125" bestFit="1" customWidth="1"/>
    <col min="15613" max="15613" width="7" customWidth="1"/>
    <col min="15614" max="15614" width="9.28515625" customWidth="1"/>
    <col min="15615" max="15615" width="31.28515625" customWidth="1"/>
    <col min="15616" max="15616" width="58.85546875" customWidth="1"/>
    <col min="15617" max="15618" width="0" hidden="1" customWidth="1"/>
    <col min="15619" max="15619" width="14.7109375" customWidth="1"/>
    <col min="15620" max="15620" width="17.28515625" customWidth="1"/>
    <col min="15621" max="15621" width="26" bestFit="1" customWidth="1"/>
    <col min="15622" max="15622" width="12.140625" bestFit="1" customWidth="1"/>
    <col min="15623" max="15623" width="12.28515625" customWidth="1"/>
    <col min="15624" max="15624" width="12.140625" bestFit="1" customWidth="1"/>
    <col min="15625" max="15625" width="13.5703125" bestFit="1" customWidth="1"/>
    <col min="15626" max="15626" width="16" customWidth="1"/>
    <col min="15627" max="15627" width="10" customWidth="1"/>
    <col min="15628" max="15668" width="15.7109375" customWidth="1"/>
    <col min="15669" max="15669" width="2.5703125" bestFit="1" customWidth="1"/>
    <col min="15869" max="15869" width="7" customWidth="1"/>
    <col min="15870" max="15870" width="9.28515625" customWidth="1"/>
    <col min="15871" max="15871" width="31.28515625" customWidth="1"/>
    <col min="15872" max="15872" width="58.85546875" customWidth="1"/>
    <col min="15873" max="15874" width="0" hidden="1" customWidth="1"/>
    <col min="15875" max="15875" width="14.7109375" customWidth="1"/>
    <col min="15876" max="15876" width="17.28515625" customWidth="1"/>
    <col min="15877" max="15877" width="26" bestFit="1" customWidth="1"/>
    <col min="15878" max="15878" width="12.140625" bestFit="1" customWidth="1"/>
    <col min="15879" max="15879" width="12.28515625" customWidth="1"/>
    <col min="15880" max="15880" width="12.140625" bestFit="1" customWidth="1"/>
    <col min="15881" max="15881" width="13.5703125" bestFit="1" customWidth="1"/>
    <col min="15882" max="15882" width="16" customWidth="1"/>
    <col min="15883" max="15883" width="10" customWidth="1"/>
    <col min="15884" max="15924" width="15.7109375" customWidth="1"/>
    <col min="15925" max="15925" width="2.5703125" bestFit="1" customWidth="1"/>
    <col min="16125" max="16125" width="7" customWidth="1"/>
    <col min="16126" max="16126" width="9.28515625" customWidth="1"/>
    <col min="16127" max="16127" width="31.28515625" customWidth="1"/>
    <col min="16128" max="16128" width="58.85546875" customWidth="1"/>
    <col min="16129" max="16130" width="0" hidden="1" customWidth="1"/>
    <col min="16131" max="16131" width="14.7109375" customWidth="1"/>
    <col min="16132" max="16132" width="17.28515625" customWidth="1"/>
    <col min="16133" max="16133" width="26" bestFit="1" customWidth="1"/>
    <col min="16134" max="16134" width="12.140625" bestFit="1" customWidth="1"/>
    <col min="16135" max="16135" width="12.28515625" customWidth="1"/>
    <col min="16136" max="16136" width="12.140625" bestFit="1" customWidth="1"/>
    <col min="16137" max="16137" width="13.5703125" bestFit="1" customWidth="1"/>
    <col min="16138" max="16138" width="16" customWidth="1"/>
    <col min="16139" max="16139" width="10" customWidth="1"/>
    <col min="16140" max="16180" width="15.7109375" customWidth="1"/>
    <col min="16181" max="16181" width="2.5703125" bestFit="1" customWidth="1"/>
  </cols>
  <sheetData>
    <row r="1" spans="1:54" s="3" customFormat="1" ht="26.25" x14ac:dyDescent="0.4">
      <c r="A1" s="1" t="s">
        <v>66</v>
      </c>
      <c r="B1" s="2"/>
      <c r="G1" s="6"/>
      <c r="H1" s="6"/>
      <c r="I1" s="6"/>
      <c r="J1" s="6"/>
      <c r="K1" s="6"/>
      <c r="L1" s="5"/>
      <c r="M1" s="6"/>
      <c r="N1" s="6"/>
      <c r="O1" s="7"/>
      <c r="AB1" s="8"/>
    </row>
    <row r="2" spans="1:54" s="3" customFormat="1" thickBot="1" x14ac:dyDescent="0.25">
      <c r="A2" s="6"/>
      <c r="B2" s="6"/>
      <c r="G2" s="6"/>
      <c r="H2" s="6"/>
      <c r="I2" s="6"/>
      <c r="J2" s="6"/>
      <c r="K2" s="6"/>
      <c r="L2" s="5"/>
      <c r="M2" s="6"/>
      <c r="N2" s="6"/>
      <c r="AB2" s="8"/>
    </row>
    <row r="3" spans="1:54" s="3" customFormat="1" ht="14.25" x14ac:dyDescent="0.2">
      <c r="A3" s="9" t="s">
        <v>0</v>
      </c>
      <c r="B3" s="10"/>
      <c r="C3" s="11" t="s">
        <v>1</v>
      </c>
      <c r="G3" s="106" t="s">
        <v>2</v>
      </c>
      <c r="H3" s="124"/>
      <c r="I3" s="124" t="s">
        <v>3</v>
      </c>
      <c r="J3" s="6"/>
      <c r="K3" s="6"/>
      <c r="L3" s="5"/>
      <c r="M3" s="6"/>
      <c r="N3" s="6"/>
      <c r="AB3" s="8"/>
    </row>
    <row r="4" spans="1:54" s="3" customFormat="1" ht="14.25" x14ac:dyDescent="0.2">
      <c r="A4" s="13" t="s">
        <v>4</v>
      </c>
      <c r="B4" s="14"/>
      <c r="C4" s="15" t="s">
        <v>5</v>
      </c>
      <c r="G4" s="106" t="s">
        <v>6</v>
      </c>
      <c r="H4" s="124"/>
      <c r="I4" s="124" t="s">
        <v>7</v>
      </c>
      <c r="J4" s="6"/>
      <c r="K4" s="6"/>
      <c r="L4" s="5"/>
      <c r="M4" s="6"/>
      <c r="N4" s="6"/>
      <c r="AB4" s="8"/>
    </row>
    <row r="5" spans="1:54" s="3" customFormat="1" ht="14.25" x14ac:dyDescent="0.2">
      <c r="A5" s="13" t="s">
        <v>8</v>
      </c>
      <c r="B5" s="14"/>
      <c r="C5" s="15" t="s">
        <v>9</v>
      </c>
      <c r="G5" s="106" t="s">
        <v>10</v>
      </c>
      <c r="H5" s="124"/>
      <c r="I5" s="124" t="s">
        <v>11</v>
      </c>
      <c r="J5" s="6"/>
      <c r="K5" s="6"/>
      <c r="L5" s="5"/>
      <c r="M5" s="6"/>
      <c r="N5" s="6"/>
      <c r="AB5" s="8"/>
    </row>
    <row r="6" spans="1:54" s="3" customFormat="1" ht="14.25" x14ac:dyDescent="0.2">
      <c r="A6" s="13" t="s">
        <v>52</v>
      </c>
      <c r="B6" s="14"/>
      <c r="C6" s="16" t="s">
        <v>53</v>
      </c>
      <c r="H6" s="6"/>
      <c r="I6" s="6"/>
      <c r="J6" s="6"/>
      <c r="K6" s="6"/>
      <c r="L6" s="5"/>
      <c r="M6" s="6"/>
      <c r="N6" s="6"/>
      <c r="AB6" s="8"/>
    </row>
    <row r="7" spans="1:54" s="3" customFormat="1" thickBot="1" x14ac:dyDescent="0.25">
      <c r="A7" s="17" t="s">
        <v>12</v>
      </c>
      <c r="B7" s="18"/>
      <c r="C7" s="19">
        <f ca="1">TODAY()</f>
        <v>46150</v>
      </c>
      <c r="G7" s="22"/>
      <c r="H7" s="6"/>
      <c r="I7" s="6"/>
      <c r="J7" s="6"/>
      <c r="K7" s="6"/>
      <c r="L7" s="21"/>
      <c r="M7" s="6"/>
      <c r="N7" s="6"/>
      <c r="AB7" s="8"/>
    </row>
    <row r="8" spans="1:54" s="3" customFormat="1" ht="14.25" x14ac:dyDescent="0.2">
      <c r="A8" s="6"/>
      <c r="B8" s="6"/>
      <c r="G8" s="22"/>
      <c r="H8" s="6"/>
      <c r="I8" s="6"/>
      <c r="J8" s="6"/>
      <c r="K8" s="6"/>
      <c r="L8" s="21"/>
      <c r="M8" s="6"/>
      <c r="N8" s="6"/>
      <c r="AB8" s="8"/>
    </row>
    <row r="9" spans="1:54" s="3" customFormat="1" ht="15.75" thickBot="1" x14ac:dyDescent="0.3">
      <c r="A9" s="248"/>
      <c r="B9" s="6"/>
      <c r="G9" s="6"/>
      <c r="H9" s="6"/>
      <c r="I9" s="6"/>
      <c r="J9" s="6"/>
      <c r="K9" s="6"/>
      <c r="L9" s="5"/>
      <c r="M9" s="6"/>
      <c r="N9" s="6"/>
      <c r="U9" s="23"/>
      <c r="AB9" s="8"/>
    </row>
    <row r="10" spans="1:54" s="3" customFormat="1" ht="15.75" thickBot="1" x14ac:dyDescent="0.3">
      <c r="A10" s="24"/>
      <c r="B10" s="24"/>
      <c r="C10" s="25"/>
      <c r="D10" s="23"/>
      <c r="E10" s="23"/>
      <c r="F10" s="23"/>
      <c r="G10" s="26"/>
      <c r="H10" s="26"/>
      <c r="I10" s="26"/>
      <c r="J10" s="26"/>
      <c r="K10" s="26"/>
      <c r="L10" s="27"/>
      <c r="M10" s="26"/>
      <c r="N10" s="28" t="s">
        <v>13</v>
      </c>
      <c r="O10" s="29"/>
      <c r="P10" s="28" t="s">
        <v>14</v>
      </c>
      <c r="Q10" s="30"/>
      <c r="R10" s="31"/>
      <c r="S10" s="28" t="s">
        <v>15</v>
      </c>
      <c r="T10" s="32"/>
      <c r="U10" s="33"/>
      <c r="V10" s="32"/>
      <c r="W10" s="34"/>
      <c r="X10" s="35" t="s">
        <v>15</v>
      </c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29"/>
    </row>
    <row r="11" spans="1:54" s="3" customFormat="1" ht="43.5" thickBot="1" x14ac:dyDescent="0.3">
      <c r="A11" s="38"/>
      <c r="B11" s="249" t="s">
        <v>128</v>
      </c>
      <c r="C11" s="250" t="s">
        <v>129</v>
      </c>
      <c r="D11" s="250" t="s">
        <v>19</v>
      </c>
      <c r="E11" s="251" t="s">
        <v>130</v>
      </c>
      <c r="F11" s="251" t="s">
        <v>131</v>
      </c>
      <c r="G11" s="252" t="s">
        <v>21</v>
      </c>
      <c r="H11" s="251" t="s">
        <v>132</v>
      </c>
      <c r="I11" s="251" t="s">
        <v>23</v>
      </c>
      <c r="J11" s="251" t="s">
        <v>133</v>
      </c>
      <c r="K11" s="251" t="s">
        <v>134</v>
      </c>
      <c r="L11" s="253" t="s">
        <v>135</v>
      </c>
      <c r="M11" s="254" t="s">
        <v>27</v>
      </c>
      <c r="N11" s="44">
        <v>2024</v>
      </c>
      <c r="O11" s="45">
        <v>2025</v>
      </c>
      <c r="P11" s="44">
        <v>2026</v>
      </c>
      <c r="Q11" s="46">
        <v>2027</v>
      </c>
      <c r="R11" s="45">
        <v>2028</v>
      </c>
      <c r="S11" s="44">
        <v>2029</v>
      </c>
      <c r="T11" s="46">
        <v>2030</v>
      </c>
      <c r="U11" s="46">
        <v>2031</v>
      </c>
      <c r="V11" s="46">
        <v>2032</v>
      </c>
      <c r="W11" s="45">
        <v>2033</v>
      </c>
      <c r="X11" s="46">
        <v>2034</v>
      </c>
      <c r="Y11" s="46">
        <v>2035</v>
      </c>
      <c r="Z11" s="46">
        <v>2036</v>
      </c>
      <c r="AA11" s="46">
        <v>2037</v>
      </c>
      <c r="AB11" s="46">
        <v>2038</v>
      </c>
      <c r="AC11" s="46">
        <v>2039</v>
      </c>
      <c r="AD11" s="46">
        <v>2040</v>
      </c>
      <c r="AE11" s="46">
        <v>2041</v>
      </c>
      <c r="AF11" s="46">
        <v>2042</v>
      </c>
      <c r="AG11" s="46">
        <v>2043</v>
      </c>
      <c r="AH11" s="46">
        <v>2044</v>
      </c>
      <c r="AI11" s="46">
        <v>2045</v>
      </c>
      <c r="AJ11" s="46">
        <v>2046</v>
      </c>
      <c r="AK11" s="46">
        <v>2047</v>
      </c>
      <c r="AL11" s="46">
        <v>2048</v>
      </c>
      <c r="AM11" s="46">
        <v>2049</v>
      </c>
      <c r="AN11" s="46">
        <v>2050</v>
      </c>
      <c r="AO11" s="46">
        <v>2051</v>
      </c>
      <c r="AP11" s="46">
        <v>2052</v>
      </c>
      <c r="AQ11" s="46">
        <v>2053</v>
      </c>
      <c r="AR11" s="46">
        <v>2054</v>
      </c>
      <c r="AS11" s="46">
        <v>2055</v>
      </c>
      <c r="AT11" s="46">
        <v>2056</v>
      </c>
      <c r="AU11" s="46">
        <v>2057</v>
      </c>
      <c r="AV11" s="46">
        <v>2058</v>
      </c>
      <c r="AW11" s="46">
        <v>2059</v>
      </c>
      <c r="AX11" s="46">
        <v>2060</v>
      </c>
      <c r="AY11" s="46">
        <v>2061</v>
      </c>
      <c r="AZ11" s="46">
        <v>2062</v>
      </c>
      <c r="BA11" s="45">
        <v>2063</v>
      </c>
      <c r="BB11" s="255">
        <v>2064</v>
      </c>
    </row>
    <row r="12" spans="1:54" ht="15" customHeight="1" x14ac:dyDescent="0.25">
      <c r="A12" s="355" t="s">
        <v>53</v>
      </c>
      <c r="B12" s="256" t="s">
        <v>3</v>
      </c>
      <c r="C12" s="257" t="s">
        <v>136</v>
      </c>
      <c r="D12" s="257"/>
      <c r="E12" s="257" t="s">
        <v>2</v>
      </c>
      <c r="F12" s="32">
        <v>1973</v>
      </c>
      <c r="G12" s="257" t="s">
        <v>33</v>
      </c>
      <c r="H12" s="256">
        <v>40</v>
      </c>
      <c r="I12" s="52">
        <f>H12+F12</f>
        <v>2013</v>
      </c>
      <c r="J12" s="53">
        <v>2032</v>
      </c>
      <c r="K12" s="258">
        <f>'Kapitaalslast per kleedkamer'!H4</f>
        <v>83812</v>
      </c>
      <c r="L12" s="66">
        <f>'Kapitaalslast per kleedkamer'!I4</f>
        <v>101412.52</v>
      </c>
      <c r="M12" s="259" t="s">
        <v>31</v>
      </c>
      <c r="N12" s="260">
        <f t="shared" ref="N12:W20" si="0">IF(MOD($J12-N$11,$H12)=0,$L12,0)</f>
        <v>0</v>
      </c>
      <c r="O12" s="260">
        <f t="shared" si="0"/>
        <v>0</v>
      </c>
      <c r="P12" s="260">
        <f t="shared" si="0"/>
        <v>0</v>
      </c>
      <c r="Q12" s="260">
        <f t="shared" si="0"/>
        <v>0</v>
      </c>
      <c r="R12" s="260">
        <f t="shared" si="0"/>
        <v>0</v>
      </c>
      <c r="S12" s="260">
        <f t="shared" si="0"/>
        <v>0</v>
      </c>
      <c r="T12" s="260">
        <f t="shared" si="0"/>
        <v>0</v>
      </c>
      <c r="U12" s="260">
        <f t="shared" si="0"/>
        <v>0</v>
      </c>
      <c r="V12" s="260">
        <f t="shared" si="0"/>
        <v>101412.52</v>
      </c>
      <c r="W12" s="260">
        <f t="shared" si="0"/>
        <v>0</v>
      </c>
      <c r="X12" s="260">
        <f t="shared" ref="X12:AG20" si="1">IF(MOD($J12-X$11,$H12)=0,$L12,0)</f>
        <v>0</v>
      </c>
      <c r="Y12" s="260">
        <f t="shared" si="1"/>
        <v>0</v>
      </c>
      <c r="Z12" s="260">
        <f t="shared" si="1"/>
        <v>0</v>
      </c>
      <c r="AA12" s="260">
        <f t="shared" si="1"/>
        <v>0</v>
      </c>
      <c r="AB12" s="260">
        <f t="shared" si="1"/>
        <v>0</v>
      </c>
      <c r="AC12" s="260">
        <f t="shared" si="1"/>
        <v>0</v>
      </c>
      <c r="AD12" s="260">
        <f t="shared" si="1"/>
        <v>0</v>
      </c>
      <c r="AE12" s="260">
        <f t="shared" si="1"/>
        <v>0</v>
      </c>
      <c r="AF12" s="260">
        <f t="shared" si="1"/>
        <v>0</v>
      </c>
      <c r="AG12" s="260">
        <f t="shared" si="1"/>
        <v>0</v>
      </c>
      <c r="AH12" s="260">
        <f t="shared" ref="AH12:AQ20" si="2">IF(MOD($J12-AH$11,$H12)=0,$L12,0)</f>
        <v>0</v>
      </c>
      <c r="AI12" s="260">
        <f t="shared" si="2"/>
        <v>0</v>
      </c>
      <c r="AJ12" s="260">
        <f t="shared" si="2"/>
        <v>0</v>
      </c>
      <c r="AK12" s="260">
        <f t="shared" si="2"/>
        <v>0</v>
      </c>
      <c r="AL12" s="260">
        <f t="shared" si="2"/>
        <v>0</v>
      </c>
      <c r="AM12" s="260">
        <f t="shared" si="2"/>
        <v>0</v>
      </c>
      <c r="AN12" s="260">
        <f t="shared" si="2"/>
        <v>0</v>
      </c>
      <c r="AO12" s="260">
        <f t="shared" si="2"/>
        <v>0</v>
      </c>
      <c r="AP12" s="260">
        <f t="shared" si="2"/>
        <v>0</v>
      </c>
      <c r="AQ12" s="260">
        <f t="shared" si="2"/>
        <v>0</v>
      </c>
      <c r="AR12" s="260">
        <f t="shared" ref="AR12:BB20" si="3">IF(MOD($J12-AR$11,$H12)=0,$L12,0)</f>
        <v>0</v>
      </c>
      <c r="AS12" s="260">
        <f t="shared" si="3"/>
        <v>0</v>
      </c>
      <c r="AT12" s="260">
        <f t="shared" si="3"/>
        <v>0</v>
      </c>
      <c r="AU12" s="260">
        <f t="shared" si="3"/>
        <v>0</v>
      </c>
      <c r="AV12" s="260">
        <f t="shared" si="3"/>
        <v>0</v>
      </c>
      <c r="AW12" s="260">
        <f t="shared" si="3"/>
        <v>0</v>
      </c>
      <c r="AX12" s="260">
        <f t="shared" si="3"/>
        <v>0</v>
      </c>
      <c r="AY12" s="260">
        <f t="shared" si="3"/>
        <v>0</v>
      </c>
      <c r="AZ12" s="260">
        <f t="shared" si="3"/>
        <v>0</v>
      </c>
      <c r="BA12" s="260">
        <f t="shared" si="3"/>
        <v>0</v>
      </c>
      <c r="BB12" s="261">
        <f t="shared" si="3"/>
        <v>0</v>
      </c>
    </row>
    <row r="13" spans="1:54" x14ac:dyDescent="0.25">
      <c r="A13" s="356"/>
      <c r="B13" s="262" t="s">
        <v>7</v>
      </c>
      <c r="C13" s="263" t="s">
        <v>137</v>
      </c>
      <c r="D13" s="263"/>
      <c r="E13" s="263" t="s">
        <v>2</v>
      </c>
      <c r="F13" s="3">
        <v>1973</v>
      </c>
      <c r="G13" s="263" t="s">
        <v>33</v>
      </c>
      <c r="H13" s="262">
        <v>40</v>
      </c>
      <c r="I13" s="52">
        <f t="shared" ref="I13:I17" si="4">H13+F13</f>
        <v>2013</v>
      </c>
      <c r="J13" s="53">
        <v>2032</v>
      </c>
      <c r="K13" s="258">
        <f>'Kapitaalslast per kleedkamer'!H5</f>
        <v>76310</v>
      </c>
      <c r="L13" s="66">
        <f>'Kapitaalslast per kleedkamer'!I5</f>
        <v>92335.099999999991</v>
      </c>
      <c r="M13" s="264" t="s">
        <v>31</v>
      </c>
      <c r="N13" s="67">
        <f t="shared" si="0"/>
        <v>0</v>
      </c>
      <c r="O13" s="67">
        <f t="shared" si="0"/>
        <v>0</v>
      </c>
      <c r="P13" s="67">
        <f t="shared" si="0"/>
        <v>0</v>
      </c>
      <c r="Q13" s="67">
        <f t="shared" si="0"/>
        <v>0</v>
      </c>
      <c r="R13" s="67">
        <f t="shared" si="0"/>
        <v>0</v>
      </c>
      <c r="S13" s="67">
        <f t="shared" si="0"/>
        <v>0</v>
      </c>
      <c r="T13" s="67">
        <f t="shared" si="0"/>
        <v>0</v>
      </c>
      <c r="U13" s="67">
        <f t="shared" si="0"/>
        <v>0</v>
      </c>
      <c r="V13" s="67">
        <f t="shared" si="0"/>
        <v>92335.099999999991</v>
      </c>
      <c r="W13" s="67">
        <f t="shared" si="0"/>
        <v>0</v>
      </c>
      <c r="X13" s="67">
        <f t="shared" si="1"/>
        <v>0</v>
      </c>
      <c r="Y13" s="67">
        <f t="shared" si="1"/>
        <v>0</v>
      </c>
      <c r="Z13" s="67">
        <f t="shared" si="1"/>
        <v>0</v>
      </c>
      <c r="AA13" s="67">
        <f t="shared" si="1"/>
        <v>0</v>
      </c>
      <c r="AB13" s="67">
        <f t="shared" si="1"/>
        <v>0</v>
      </c>
      <c r="AC13" s="67">
        <f t="shared" si="1"/>
        <v>0</v>
      </c>
      <c r="AD13" s="67">
        <f t="shared" si="1"/>
        <v>0</v>
      </c>
      <c r="AE13" s="67">
        <f t="shared" si="1"/>
        <v>0</v>
      </c>
      <c r="AF13" s="67">
        <f t="shared" si="1"/>
        <v>0</v>
      </c>
      <c r="AG13" s="67">
        <f t="shared" si="1"/>
        <v>0</v>
      </c>
      <c r="AH13" s="67">
        <f t="shared" si="2"/>
        <v>0</v>
      </c>
      <c r="AI13" s="67">
        <f t="shared" si="2"/>
        <v>0</v>
      </c>
      <c r="AJ13" s="67">
        <f t="shared" si="2"/>
        <v>0</v>
      </c>
      <c r="AK13" s="67">
        <f t="shared" si="2"/>
        <v>0</v>
      </c>
      <c r="AL13" s="67">
        <f t="shared" si="2"/>
        <v>0</v>
      </c>
      <c r="AM13" s="67">
        <f t="shared" si="2"/>
        <v>0</v>
      </c>
      <c r="AN13" s="67">
        <f t="shared" si="2"/>
        <v>0</v>
      </c>
      <c r="AO13" s="67">
        <f t="shared" si="2"/>
        <v>0</v>
      </c>
      <c r="AP13" s="67">
        <f t="shared" si="2"/>
        <v>0</v>
      </c>
      <c r="AQ13" s="67">
        <f t="shared" si="2"/>
        <v>0</v>
      </c>
      <c r="AR13" s="67">
        <f t="shared" si="3"/>
        <v>0</v>
      </c>
      <c r="AS13" s="67">
        <f t="shared" si="3"/>
        <v>0</v>
      </c>
      <c r="AT13" s="67">
        <f t="shared" si="3"/>
        <v>0</v>
      </c>
      <c r="AU13" s="67">
        <f t="shared" si="3"/>
        <v>0</v>
      </c>
      <c r="AV13" s="67">
        <f t="shared" si="3"/>
        <v>0</v>
      </c>
      <c r="AW13" s="67">
        <f t="shared" si="3"/>
        <v>0</v>
      </c>
      <c r="AX13" s="67">
        <f t="shared" si="3"/>
        <v>0</v>
      </c>
      <c r="AY13" s="67">
        <f t="shared" si="3"/>
        <v>0</v>
      </c>
      <c r="AZ13" s="67">
        <f t="shared" si="3"/>
        <v>0</v>
      </c>
      <c r="BA13" s="67">
        <f t="shared" si="3"/>
        <v>0</v>
      </c>
      <c r="BB13" s="265">
        <f t="shared" si="3"/>
        <v>0</v>
      </c>
    </row>
    <row r="14" spans="1:54" x14ac:dyDescent="0.25">
      <c r="A14" s="356"/>
      <c r="B14" s="262" t="s">
        <v>11</v>
      </c>
      <c r="C14" s="263" t="s">
        <v>138</v>
      </c>
      <c r="D14" s="263"/>
      <c r="E14" s="263" t="s">
        <v>2</v>
      </c>
      <c r="F14" s="3">
        <v>1973</v>
      </c>
      <c r="G14" s="263" t="s">
        <v>33</v>
      </c>
      <c r="H14" s="262">
        <v>40</v>
      </c>
      <c r="I14" s="52">
        <f t="shared" si="4"/>
        <v>2013</v>
      </c>
      <c r="J14" s="53">
        <v>2032</v>
      </c>
      <c r="K14" s="258">
        <f>'Kapitaalslast per kleedkamer'!H6</f>
        <v>97276</v>
      </c>
      <c r="L14" s="66">
        <f>'Kapitaalslast per kleedkamer'!I6</f>
        <v>117703.95999999999</v>
      </c>
      <c r="M14" s="264" t="s">
        <v>31</v>
      </c>
      <c r="N14" s="266">
        <f t="shared" si="0"/>
        <v>0</v>
      </c>
      <c r="O14" s="266">
        <f t="shared" si="0"/>
        <v>0</v>
      </c>
      <c r="P14" s="266">
        <f t="shared" si="0"/>
        <v>0</v>
      </c>
      <c r="Q14" s="266">
        <f t="shared" si="0"/>
        <v>0</v>
      </c>
      <c r="R14" s="266">
        <f t="shared" si="0"/>
        <v>0</v>
      </c>
      <c r="S14" s="266">
        <f t="shared" si="0"/>
        <v>0</v>
      </c>
      <c r="T14" s="266">
        <f t="shared" si="0"/>
        <v>0</v>
      </c>
      <c r="U14" s="266">
        <f t="shared" si="0"/>
        <v>0</v>
      </c>
      <c r="V14" s="266">
        <f t="shared" si="0"/>
        <v>117703.95999999999</v>
      </c>
      <c r="W14" s="266">
        <f t="shared" si="0"/>
        <v>0</v>
      </c>
      <c r="X14" s="266">
        <f t="shared" si="1"/>
        <v>0</v>
      </c>
      <c r="Y14" s="266">
        <f t="shared" si="1"/>
        <v>0</v>
      </c>
      <c r="Z14" s="266">
        <f t="shared" si="1"/>
        <v>0</v>
      </c>
      <c r="AA14" s="266">
        <f t="shared" si="1"/>
        <v>0</v>
      </c>
      <c r="AB14" s="266">
        <f t="shared" si="1"/>
        <v>0</v>
      </c>
      <c r="AC14" s="266">
        <f t="shared" si="1"/>
        <v>0</v>
      </c>
      <c r="AD14" s="266">
        <f t="shared" si="1"/>
        <v>0</v>
      </c>
      <c r="AE14" s="266">
        <f t="shared" si="1"/>
        <v>0</v>
      </c>
      <c r="AF14" s="266">
        <f t="shared" si="1"/>
        <v>0</v>
      </c>
      <c r="AG14" s="266">
        <f t="shared" si="1"/>
        <v>0</v>
      </c>
      <c r="AH14" s="266">
        <f t="shared" si="2"/>
        <v>0</v>
      </c>
      <c r="AI14" s="266">
        <f t="shared" si="2"/>
        <v>0</v>
      </c>
      <c r="AJ14" s="266">
        <f t="shared" si="2"/>
        <v>0</v>
      </c>
      <c r="AK14" s="266">
        <f t="shared" si="2"/>
        <v>0</v>
      </c>
      <c r="AL14" s="266">
        <f t="shared" si="2"/>
        <v>0</v>
      </c>
      <c r="AM14" s="266">
        <f t="shared" si="2"/>
        <v>0</v>
      </c>
      <c r="AN14" s="266">
        <f t="shared" si="2"/>
        <v>0</v>
      </c>
      <c r="AO14" s="266">
        <f t="shared" si="2"/>
        <v>0</v>
      </c>
      <c r="AP14" s="266">
        <f t="shared" si="2"/>
        <v>0</v>
      </c>
      <c r="AQ14" s="266">
        <f t="shared" si="2"/>
        <v>0</v>
      </c>
      <c r="AR14" s="266">
        <f t="shared" si="3"/>
        <v>0</v>
      </c>
      <c r="AS14" s="266">
        <f t="shared" si="3"/>
        <v>0</v>
      </c>
      <c r="AT14" s="266">
        <f t="shared" si="3"/>
        <v>0</v>
      </c>
      <c r="AU14" s="266">
        <f t="shared" si="3"/>
        <v>0</v>
      </c>
      <c r="AV14" s="266">
        <f t="shared" si="3"/>
        <v>0</v>
      </c>
      <c r="AW14" s="266">
        <f t="shared" si="3"/>
        <v>0</v>
      </c>
      <c r="AX14" s="266">
        <f t="shared" si="3"/>
        <v>0</v>
      </c>
      <c r="AY14" s="266">
        <f t="shared" si="3"/>
        <v>0</v>
      </c>
      <c r="AZ14" s="266">
        <f t="shared" si="3"/>
        <v>0</v>
      </c>
      <c r="BA14" s="266">
        <f t="shared" si="3"/>
        <v>0</v>
      </c>
      <c r="BB14" s="265">
        <f t="shared" si="3"/>
        <v>0</v>
      </c>
    </row>
    <row r="15" spans="1:54" x14ac:dyDescent="0.25">
      <c r="A15" s="356"/>
      <c r="B15" s="262" t="s">
        <v>139</v>
      </c>
      <c r="C15" s="263" t="s">
        <v>140</v>
      </c>
      <c r="D15" s="263"/>
      <c r="E15" s="263" t="s">
        <v>2</v>
      </c>
      <c r="F15" s="3">
        <v>2019</v>
      </c>
      <c r="G15" s="263" t="s">
        <v>33</v>
      </c>
      <c r="H15" s="262">
        <v>20</v>
      </c>
      <c r="I15" s="52">
        <f t="shared" si="4"/>
        <v>2039</v>
      </c>
      <c r="J15" s="53">
        <v>2032</v>
      </c>
      <c r="K15" s="258">
        <f>'Kapitaalslast per kleedkamer'!H7</f>
        <v>49070</v>
      </c>
      <c r="L15" s="66">
        <f>'Kapitaalslast per kleedkamer'!I7</f>
        <v>59374.7</v>
      </c>
      <c r="M15" s="264" t="s">
        <v>31</v>
      </c>
      <c r="N15" s="67">
        <f t="shared" si="0"/>
        <v>0</v>
      </c>
      <c r="O15" s="67">
        <f t="shared" si="0"/>
        <v>0</v>
      </c>
      <c r="P15" s="67">
        <f t="shared" si="0"/>
        <v>0</v>
      </c>
      <c r="Q15" s="67">
        <f t="shared" si="0"/>
        <v>0</v>
      </c>
      <c r="R15" s="67">
        <f t="shared" si="0"/>
        <v>0</v>
      </c>
      <c r="S15" s="67">
        <f t="shared" si="0"/>
        <v>0</v>
      </c>
      <c r="T15" s="67">
        <f t="shared" si="0"/>
        <v>0</v>
      </c>
      <c r="U15" s="67">
        <f t="shared" si="0"/>
        <v>0</v>
      </c>
      <c r="V15" s="67">
        <f t="shared" si="0"/>
        <v>59374.7</v>
      </c>
      <c r="W15" s="67">
        <f t="shared" si="0"/>
        <v>0</v>
      </c>
      <c r="X15" s="67">
        <f t="shared" si="1"/>
        <v>0</v>
      </c>
      <c r="Y15" s="67">
        <f t="shared" si="1"/>
        <v>0</v>
      </c>
      <c r="Z15" s="67">
        <f t="shared" si="1"/>
        <v>0</v>
      </c>
      <c r="AA15" s="67">
        <f t="shared" si="1"/>
        <v>0</v>
      </c>
      <c r="AB15" s="67">
        <f t="shared" si="1"/>
        <v>0</v>
      </c>
      <c r="AC15" s="67">
        <f t="shared" si="1"/>
        <v>0</v>
      </c>
      <c r="AD15" s="67">
        <f t="shared" si="1"/>
        <v>0</v>
      </c>
      <c r="AE15" s="67">
        <f t="shared" si="1"/>
        <v>0</v>
      </c>
      <c r="AF15" s="67">
        <f t="shared" si="1"/>
        <v>0</v>
      </c>
      <c r="AG15" s="67">
        <f t="shared" si="1"/>
        <v>0</v>
      </c>
      <c r="AH15" s="67">
        <f t="shared" si="2"/>
        <v>0</v>
      </c>
      <c r="AI15" s="67">
        <f t="shared" si="2"/>
        <v>0</v>
      </c>
      <c r="AJ15" s="67">
        <f t="shared" si="2"/>
        <v>0</v>
      </c>
      <c r="AK15" s="67">
        <f t="shared" si="2"/>
        <v>0</v>
      </c>
      <c r="AL15" s="67">
        <f t="shared" si="2"/>
        <v>0</v>
      </c>
      <c r="AM15" s="67">
        <f t="shared" si="2"/>
        <v>0</v>
      </c>
      <c r="AN15" s="67">
        <f t="shared" si="2"/>
        <v>0</v>
      </c>
      <c r="AO15" s="67">
        <f t="shared" si="2"/>
        <v>0</v>
      </c>
      <c r="AP15" s="67">
        <f t="shared" si="2"/>
        <v>59374.7</v>
      </c>
      <c r="AQ15" s="67">
        <f t="shared" si="2"/>
        <v>0</v>
      </c>
      <c r="AR15" s="67">
        <f t="shared" si="3"/>
        <v>0</v>
      </c>
      <c r="AS15" s="67">
        <f t="shared" si="3"/>
        <v>0</v>
      </c>
      <c r="AT15" s="67">
        <f t="shared" si="3"/>
        <v>0</v>
      </c>
      <c r="AU15" s="67">
        <f t="shared" si="3"/>
        <v>0</v>
      </c>
      <c r="AV15" s="67">
        <f t="shared" si="3"/>
        <v>0</v>
      </c>
      <c r="AW15" s="67">
        <f t="shared" si="3"/>
        <v>0</v>
      </c>
      <c r="AX15" s="67">
        <f t="shared" si="3"/>
        <v>0</v>
      </c>
      <c r="AY15" s="67">
        <f t="shared" si="3"/>
        <v>0</v>
      </c>
      <c r="AZ15" s="67">
        <f t="shared" si="3"/>
        <v>0</v>
      </c>
      <c r="BA15" s="67">
        <f t="shared" si="3"/>
        <v>0</v>
      </c>
      <c r="BB15" s="265">
        <f t="shared" si="3"/>
        <v>0</v>
      </c>
    </row>
    <row r="16" spans="1:54" x14ac:dyDescent="0.25">
      <c r="A16" s="356"/>
      <c r="B16" s="262" t="s">
        <v>141</v>
      </c>
      <c r="C16" s="263" t="s">
        <v>142</v>
      </c>
      <c r="D16" s="263"/>
      <c r="E16" s="263" t="s">
        <v>2</v>
      </c>
      <c r="F16" s="3">
        <v>2012</v>
      </c>
      <c r="G16" s="263" t="s">
        <v>33</v>
      </c>
      <c r="H16" s="262">
        <v>20</v>
      </c>
      <c r="I16" s="52">
        <f t="shared" si="4"/>
        <v>2032</v>
      </c>
      <c r="J16" s="53">
        <f t="shared" ref="J16:J19" si="5">I16</f>
        <v>2032</v>
      </c>
      <c r="K16" s="258">
        <f>'Kapitaalslast per kleedkamer'!H8</f>
        <v>38983</v>
      </c>
      <c r="L16" s="66">
        <f>'Kapitaalslast per kleedkamer'!I8</f>
        <v>47169.43</v>
      </c>
      <c r="M16" s="264" t="s">
        <v>31</v>
      </c>
      <c r="N16" s="67">
        <f t="shared" si="0"/>
        <v>0</v>
      </c>
      <c r="O16" s="67">
        <f t="shared" si="0"/>
        <v>0</v>
      </c>
      <c r="P16" s="67">
        <f t="shared" si="0"/>
        <v>0</v>
      </c>
      <c r="Q16" s="67">
        <f t="shared" si="0"/>
        <v>0</v>
      </c>
      <c r="R16" s="67">
        <f t="shared" si="0"/>
        <v>0</v>
      </c>
      <c r="S16" s="67">
        <f t="shared" si="0"/>
        <v>0</v>
      </c>
      <c r="T16" s="67">
        <f t="shared" si="0"/>
        <v>0</v>
      </c>
      <c r="U16" s="67">
        <f t="shared" si="0"/>
        <v>0</v>
      </c>
      <c r="V16" s="67">
        <f t="shared" si="0"/>
        <v>47169.43</v>
      </c>
      <c r="W16" s="67">
        <f t="shared" si="0"/>
        <v>0</v>
      </c>
      <c r="X16" s="67">
        <f t="shared" si="1"/>
        <v>0</v>
      </c>
      <c r="Y16" s="67">
        <f t="shared" si="1"/>
        <v>0</v>
      </c>
      <c r="Z16" s="67">
        <f t="shared" si="1"/>
        <v>0</v>
      </c>
      <c r="AA16" s="67">
        <f t="shared" si="1"/>
        <v>0</v>
      </c>
      <c r="AB16" s="67">
        <f t="shared" si="1"/>
        <v>0</v>
      </c>
      <c r="AC16" s="67">
        <f t="shared" si="1"/>
        <v>0</v>
      </c>
      <c r="AD16" s="67">
        <f t="shared" si="1"/>
        <v>0</v>
      </c>
      <c r="AE16" s="67">
        <f t="shared" si="1"/>
        <v>0</v>
      </c>
      <c r="AF16" s="67">
        <f t="shared" si="1"/>
        <v>0</v>
      </c>
      <c r="AG16" s="67">
        <f t="shared" si="1"/>
        <v>0</v>
      </c>
      <c r="AH16" s="67">
        <f t="shared" si="2"/>
        <v>0</v>
      </c>
      <c r="AI16" s="67">
        <f t="shared" si="2"/>
        <v>0</v>
      </c>
      <c r="AJ16" s="67">
        <f t="shared" si="2"/>
        <v>0</v>
      </c>
      <c r="AK16" s="67">
        <f t="shared" si="2"/>
        <v>0</v>
      </c>
      <c r="AL16" s="67">
        <f t="shared" si="2"/>
        <v>0</v>
      </c>
      <c r="AM16" s="67">
        <f t="shared" si="2"/>
        <v>0</v>
      </c>
      <c r="AN16" s="67">
        <f t="shared" si="2"/>
        <v>0</v>
      </c>
      <c r="AO16" s="67">
        <f t="shared" si="2"/>
        <v>0</v>
      </c>
      <c r="AP16" s="67">
        <f t="shared" si="2"/>
        <v>47169.43</v>
      </c>
      <c r="AQ16" s="67">
        <f t="shared" si="2"/>
        <v>0</v>
      </c>
      <c r="AR16" s="67">
        <f t="shared" si="3"/>
        <v>0</v>
      </c>
      <c r="AS16" s="67">
        <f t="shared" si="3"/>
        <v>0</v>
      </c>
      <c r="AT16" s="67">
        <f t="shared" si="3"/>
        <v>0</v>
      </c>
      <c r="AU16" s="67">
        <f t="shared" si="3"/>
        <v>0</v>
      </c>
      <c r="AV16" s="67">
        <f t="shared" si="3"/>
        <v>0</v>
      </c>
      <c r="AW16" s="67">
        <f t="shared" si="3"/>
        <v>0</v>
      </c>
      <c r="AX16" s="67">
        <f t="shared" si="3"/>
        <v>0</v>
      </c>
      <c r="AY16" s="67">
        <f t="shared" si="3"/>
        <v>0</v>
      </c>
      <c r="AZ16" s="67">
        <f t="shared" si="3"/>
        <v>0</v>
      </c>
      <c r="BA16" s="67">
        <f t="shared" si="3"/>
        <v>0</v>
      </c>
      <c r="BB16" s="265">
        <f t="shared" si="3"/>
        <v>0</v>
      </c>
    </row>
    <row r="17" spans="1:54" x14ac:dyDescent="0.25">
      <c r="A17" s="356"/>
      <c r="B17" s="262" t="s">
        <v>143</v>
      </c>
      <c r="C17" s="263" t="s">
        <v>144</v>
      </c>
      <c r="D17" s="263"/>
      <c r="E17" s="263" t="s">
        <v>2</v>
      </c>
      <c r="F17" s="3">
        <v>2012</v>
      </c>
      <c r="G17" s="263" t="s">
        <v>33</v>
      </c>
      <c r="H17" s="262">
        <v>10</v>
      </c>
      <c r="I17" s="52">
        <f t="shared" si="4"/>
        <v>2022</v>
      </c>
      <c r="J17" s="53">
        <v>2032</v>
      </c>
      <c r="K17" s="258">
        <f>'Kapitaalslast per kleedkamer'!H9</f>
        <v>46425</v>
      </c>
      <c r="L17" s="66">
        <f>'Kapitaalslast per kleedkamer'!I9</f>
        <v>56174.25</v>
      </c>
      <c r="M17" s="264" t="s">
        <v>31</v>
      </c>
      <c r="N17" s="67">
        <f t="shared" si="0"/>
        <v>0</v>
      </c>
      <c r="O17" s="67">
        <f t="shared" si="0"/>
        <v>0</v>
      </c>
      <c r="P17" s="67">
        <f t="shared" si="0"/>
        <v>0</v>
      </c>
      <c r="Q17" s="67">
        <f t="shared" si="0"/>
        <v>0</v>
      </c>
      <c r="R17" s="67">
        <f t="shared" si="0"/>
        <v>0</v>
      </c>
      <c r="S17" s="67">
        <f t="shared" si="0"/>
        <v>0</v>
      </c>
      <c r="T17" s="67">
        <f t="shared" si="0"/>
        <v>0</v>
      </c>
      <c r="U17" s="67">
        <f t="shared" si="0"/>
        <v>0</v>
      </c>
      <c r="V17" s="67">
        <f t="shared" si="0"/>
        <v>56174.25</v>
      </c>
      <c r="W17" s="67">
        <f t="shared" si="0"/>
        <v>0</v>
      </c>
      <c r="X17" s="67">
        <f t="shared" si="1"/>
        <v>0</v>
      </c>
      <c r="Y17" s="67">
        <f t="shared" si="1"/>
        <v>0</v>
      </c>
      <c r="Z17" s="67">
        <f t="shared" si="1"/>
        <v>0</v>
      </c>
      <c r="AA17" s="67">
        <f t="shared" si="1"/>
        <v>0</v>
      </c>
      <c r="AB17" s="67">
        <f t="shared" si="1"/>
        <v>0</v>
      </c>
      <c r="AC17" s="67">
        <f t="shared" si="1"/>
        <v>0</v>
      </c>
      <c r="AD17" s="67">
        <f t="shared" si="1"/>
        <v>0</v>
      </c>
      <c r="AE17" s="67">
        <f t="shared" si="1"/>
        <v>0</v>
      </c>
      <c r="AF17" s="67">
        <f t="shared" si="1"/>
        <v>56174.25</v>
      </c>
      <c r="AG17" s="67">
        <f t="shared" si="1"/>
        <v>0</v>
      </c>
      <c r="AH17" s="67">
        <f t="shared" si="2"/>
        <v>0</v>
      </c>
      <c r="AI17" s="67">
        <f t="shared" si="2"/>
        <v>0</v>
      </c>
      <c r="AJ17" s="67">
        <f t="shared" si="2"/>
        <v>0</v>
      </c>
      <c r="AK17" s="67">
        <f t="shared" si="2"/>
        <v>0</v>
      </c>
      <c r="AL17" s="67">
        <f t="shared" si="2"/>
        <v>0</v>
      </c>
      <c r="AM17" s="67">
        <f t="shared" si="2"/>
        <v>0</v>
      </c>
      <c r="AN17" s="67">
        <f t="shared" si="2"/>
        <v>0</v>
      </c>
      <c r="AO17" s="67">
        <f t="shared" si="2"/>
        <v>0</v>
      </c>
      <c r="AP17" s="67">
        <f t="shared" si="2"/>
        <v>56174.25</v>
      </c>
      <c r="AQ17" s="67">
        <f t="shared" si="2"/>
        <v>0</v>
      </c>
      <c r="AR17" s="67">
        <f t="shared" si="3"/>
        <v>0</v>
      </c>
      <c r="AS17" s="67">
        <f t="shared" si="3"/>
        <v>0</v>
      </c>
      <c r="AT17" s="67">
        <f t="shared" si="3"/>
        <v>0</v>
      </c>
      <c r="AU17" s="67">
        <f t="shared" si="3"/>
        <v>0</v>
      </c>
      <c r="AV17" s="67">
        <f t="shared" si="3"/>
        <v>0</v>
      </c>
      <c r="AW17" s="67">
        <f t="shared" si="3"/>
        <v>0</v>
      </c>
      <c r="AX17" s="67">
        <f t="shared" si="3"/>
        <v>0</v>
      </c>
      <c r="AY17" s="67">
        <f t="shared" si="3"/>
        <v>0</v>
      </c>
      <c r="AZ17" s="67">
        <f t="shared" si="3"/>
        <v>56174.25</v>
      </c>
      <c r="BA17" s="67">
        <f t="shared" si="3"/>
        <v>0</v>
      </c>
      <c r="BB17" s="265">
        <f t="shared" si="3"/>
        <v>0</v>
      </c>
    </row>
    <row r="18" spans="1:54" x14ac:dyDescent="0.25">
      <c r="A18" s="356"/>
      <c r="B18" s="262" t="s">
        <v>145</v>
      </c>
      <c r="C18" s="263" t="s">
        <v>146</v>
      </c>
      <c r="D18" s="263"/>
      <c r="E18" s="263" t="s">
        <v>2</v>
      </c>
      <c r="F18" s="3">
        <v>2012</v>
      </c>
      <c r="G18" s="263" t="s">
        <v>33</v>
      </c>
      <c r="H18" s="262">
        <v>20</v>
      </c>
      <c r="I18" s="52">
        <f>H18+F18</f>
        <v>2032</v>
      </c>
      <c r="J18" s="53">
        <f>I18</f>
        <v>2032</v>
      </c>
      <c r="K18" s="258">
        <f>'Kapitaalslast per kleedkamer'!H10</f>
        <v>73088</v>
      </c>
      <c r="L18" s="66">
        <f>'Kapitaalslast per kleedkamer'!I10</f>
        <v>88436.479999999996</v>
      </c>
      <c r="M18" s="264" t="s">
        <v>31</v>
      </c>
      <c r="N18" s="67">
        <f t="shared" si="0"/>
        <v>0</v>
      </c>
      <c r="O18" s="67">
        <f t="shared" si="0"/>
        <v>0</v>
      </c>
      <c r="P18" s="67">
        <f t="shared" si="0"/>
        <v>0</v>
      </c>
      <c r="Q18" s="67">
        <f t="shared" si="0"/>
        <v>0</v>
      </c>
      <c r="R18" s="67">
        <f t="shared" si="0"/>
        <v>0</v>
      </c>
      <c r="S18" s="67">
        <f t="shared" si="0"/>
        <v>0</v>
      </c>
      <c r="T18" s="67">
        <f t="shared" si="0"/>
        <v>0</v>
      </c>
      <c r="U18" s="67">
        <f t="shared" si="0"/>
        <v>0</v>
      </c>
      <c r="V18" s="67">
        <f t="shared" si="0"/>
        <v>88436.479999999996</v>
      </c>
      <c r="W18" s="67">
        <f t="shared" si="0"/>
        <v>0</v>
      </c>
      <c r="X18" s="67">
        <f t="shared" si="1"/>
        <v>0</v>
      </c>
      <c r="Y18" s="67">
        <f t="shared" si="1"/>
        <v>0</v>
      </c>
      <c r="Z18" s="67">
        <f t="shared" si="1"/>
        <v>0</v>
      </c>
      <c r="AA18" s="67">
        <f t="shared" si="1"/>
        <v>0</v>
      </c>
      <c r="AB18" s="67">
        <f t="shared" si="1"/>
        <v>0</v>
      </c>
      <c r="AC18" s="67">
        <f t="shared" si="1"/>
        <v>0</v>
      </c>
      <c r="AD18" s="67">
        <f t="shared" si="1"/>
        <v>0</v>
      </c>
      <c r="AE18" s="67">
        <f t="shared" si="1"/>
        <v>0</v>
      </c>
      <c r="AF18" s="67">
        <f t="shared" si="1"/>
        <v>0</v>
      </c>
      <c r="AG18" s="67">
        <f t="shared" si="1"/>
        <v>0</v>
      </c>
      <c r="AH18" s="67">
        <f t="shared" si="2"/>
        <v>0</v>
      </c>
      <c r="AI18" s="67">
        <f t="shared" si="2"/>
        <v>0</v>
      </c>
      <c r="AJ18" s="67">
        <f t="shared" si="2"/>
        <v>0</v>
      </c>
      <c r="AK18" s="67">
        <f t="shared" si="2"/>
        <v>0</v>
      </c>
      <c r="AL18" s="67">
        <f t="shared" si="2"/>
        <v>0</v>
      </c>
      <c r="AM18" s="67">
        <f t="shared" si="2"/>
        <v>0</v>
      </c>
      <c r="AN18" s="67">
        <f t="shared" si="2"/>
        <v>0</v>
      </c>
      <c r="AO18" s="67">
        <f t="shared" si="2"/>
        <v>0</v>
      </c>
      <c r="AP18" s="67">
        <f t="shared" si="2"/>
        <v>88436.479999999996</v>
      </c>
      <c r="AQ18" s="67">
        <f t="shared" si="2"/>
        <v>0</v>
      </c>
      <c r="AR18" s="67">
        <f t="shared" si="3"/>
        <v>0</v>
      </c>
      <c r="AS18" s="67">
        <f t="shared" si="3"/>
        <v>0</v>
      </c>
      <c r="AT18" s="67">
        <f t="shared" si="3"/>
        <v>0</v>
      </c>
      <c r="AU18" s="67">
        <f t="shared" si="3"/>
        <v>0</v>
      </c>
      <c r="AV18" s="67">
        <f t="shared" si="3"/>
        <v>0</v>
      </c>
      <c r="AW18" s="67">
        <f t="shared" si="3"/>
        <v>0</v>
      </c>
      <c r="AX18" s="67">
        <f t="shared" si="3"/>
        <v>0</v>
      </c>
      <c r="AY18" s="67">
        <f t="shared" si="3"/>
        <v>0</v>
      </c>
      <c r="AZ18" s="67">
        <f t="shared" si="3"/>
        <v>0</v>
      </c>
      <c r="BA18" s="67">
        <f t="shared" si="3"/>
        <v>0</v>
      </c>
      <c r="BB18" s="265">
        <f t="shared" si="3"/>
        <v>0</v>
      </c>
    </row>
    <row r="19" spans="1:54" x14ac:dyDescent="0.25">
      <c r="A19" s="356"/>
      <c r="B19" s="262" t="s">
        <v>147</v>
      </c>
      <c r="C19" s="263" t="s">
        <v>148</v>
      </c>
      <c r="D19" s="263"/>
      <c r="E19" s="263" t="s">
        <v>2</v>
      </c>
      <c r="F19" s="3">
        <v>2012</v>
      </c>
      <c r="G19" s="263" t="s">
        <v>33</v>
      </c>
      <c r="H19" s="262">
        <v>15</v>
      </c>
      <c r="I19" s="52">
        <f t="shared" ref="I19:I20" si="6">H19+F19</f>
        <v>2027</v>
      </c>
      <c r="J19" s="53">
        <f t="shared" si="5"/>
        <v>2027</v>
      </c>
      <c r="K19" s="258">
        <f>'Kapitaalslast per kleedkamer'!H11</f>
        <v>39347</v>
      </c>
      <c r="L19" s="66">
        <f>'Kapitaalslast per kleedkamer'!I11</f>
        <v>47609.869999999995</v>
      </c>
      <c r="M19" s="264" t="s">
        <v>31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47609.869999999995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1"/>
        <v>0</v>
      </c>
      <c r="Y19" s="67">
        <f t="shared" si="1"/>
        <v>0</v>
      </c>
      <c r="Z19" s="67">
        <f t="shared" si="1"/>
        <v>0</v>
      </c>
      <c r="AA19" s="67">
        <f t="shared" si="1"/>
        <v>0</v>
      </c>
      <c r="AB19" s="67">
        <f t="shared" si="1"/>
        <v>0</v>
      </c>
      <c r="AC19" s="67">
        <f t="shared" si="1"/>
        <v>0</v>
      </c>
      <c r="AD19" s="67">
        <f t="shared" si="1"/>
        <v>0</v>
      </c>
      <c r="AE19" s="67">
        <f t="shared" si="1"/>
        <v>0</v>
      </c>
      <c r="AF19" s="67">
        <f t="shared" si="1"/>
        <v>47609.869999999995</v>
      </c>
      <c r="AG19" s="67">
        <f t="shared" si="1"/>
        <v>0</v>
      </c>
      <c r="AH19" s="67">
        <f t="shared" si="2"/>
        <v>0</v>
      </c>
      <c r="AI19" s="67">
        <f t="shared" si="2"/>
        <v>0</v>
      </c>
      <c r="AJ19" s="67">
        <f t="shared" si="2"/>
        <v>0</v>
      </c>
      <c r="AK19" s="67">
        <f t="shared" si="2"/>
        <v>0</v>
      </c>
      <c r="AL19" s="67">
        <f t="shared" si="2"/>
        <v>0</v>
      </c>
      <c r="AM19" s="67">
        <f t="shared" si="2"/>
        <v>0</v>
      </c>
      <c r="AN19" s="67">
        <f t="shared" si="2"/>
        <v>0</v>
      </c>
      <c r="AO19" s="67">
        <f t="shared" si="2"/>
        <v>0</v>
      </c>
      <c r="AP19" s="67">
        <f t="shared" si="2"/>
        <v>0</v>
      </c>
      <c r="AQ19" s="67">
        <f t="shared" si="2"/>
        <v>0</v>
      </c>
      <c r="AR19" s="67">
        <f t="shared" si="3"/>
        <v>0</v>
      </c>
      <c r="AS19" s="67">
        <f t="shared" si="3"/>
        <v>0</v>
      </c>
      <c r="AT19" s="67">
        <f t="shared" si="3"/>
        <v>0</v>
      </c>
      <c r="AU19" s="67">
        <f t="shared" si="3"/>
        <v>47609.869999999995</v>
      </c>
      <c r="AV19" s="67">
        <f t="shared" si="3"/>
        <v>0</v>
      </c>
      <c r="AW19" s="67">
        <f t="shared" si="3"/>
        <v>0</v>
      </c>
      <c r="AX19" s="67">
        <f t="shared" si="3"/>
        <v>0</v>
      </c>
      <c r="AY19" s="67">
        <f t="shared" si="3"/>
        <v>0</v>
      </c>
      <c r="AZ19" s="67">
        <f t="shared" si="3"/>
        <v>0</v>
      </c>
      <c r="BA19" s="67">
        <f t="shared" si="3"/>
        <v>0</v>
      </c>
      <c r="BB19" s="265">
        <f t="shared" si="3"/>
        <v>0</v>
      </c>
    </row>
    <row r="20" spans="1:54" x14ac:dyDescent="0.25">
      <c r="A20" s="356"/>
      <c r="B20" s="262" t="s">
        <v>149</v>
      </c>
      <c r="C20" s="263" t="s">
        <v>150</v>
      </c>
      <c r="D20" s="263"/>
      <c r="E20" s="263" t="s">
        <v>2</v>
      </c>
      <c r="F20" s="3">
        <v>2012</v>
      </c>
      <c r="G20" s="263" t="s">
        <v>33</v>
      </c>
      <c r="H20" s="262">
        <v>10</v>
      </c>
      <c r="I20" s="52">
        <f t="shared" si="6"/>
        <v>2022</v>
      </c>
      <c r="J20" s="53">
        <v>2032</v>
      </c>
      <c r="K20" s="258">
        <f>'Kapitaalslast per kleedkamer'!H12</f>
        <v>22099</v>
      </c>
      <c r="L20" s="66">
        <f>'Kapitaalslast per kleedkamer'!I12</f>
        <v>26739.79</v>
      </c>
      <c r="M20" s="264" t="s">
        <v>31</v>
      </c>
      <c r="N20" s="67">
        <f t="shared" si="0"/>
        <v>0</v>
      </c>
      <c r="O20" s="67">
        <f t="shared" si="0"/>
        <v>0</v>
      </c>
      <c r="P20" s="67">
        <f t="shared" si="0"/>
        <v>0</v>
      </c>
      <c r="Q20" s="67">
        <f t="shared" si="0"/>
        <v>0</v>
      </c>
      <c r="R20" s="67">
        <f t="shared" si="0"/>
        <v>0</v>
      </c>
      <c r="S20" s="67">
        <f t="shared" si="0"/>
        <v>0</v>
      </c>
      <c r="T20" s="67">
        <f t="shared" si="0"/>
        <v>0</v>
      </c>
      <c r="U20" s="67">
        <f t="shared" si="0"/>
        <v>0</v>
      </c>
      <c r="V20" s="67">
        <f t="shared" si="0"/>
        <v>26739.79</v>
      </c>
      <c r="W20" s="67">
        <f t="shared" si="0"/>
        <v>0</v>
      </c>
      <c r="X20" s="67">
        <f t="shared" si="1"/>
        <v>0</v>
      </c>
      <c r="Y20" s="67">
        <f t="shared" si="1"/>
        <v>0</v>
      </c>
      <c r="Z20" s="67">
        <f t="shared" si="1"/>
        <v>0</v>
      </c>
      <c r="AA20" s="67">
        <f t="shared" si="1"/>
        <v>0</v>
      </c>
      <c r="AB20" s="67">
        <f t="shared" si="1"/>
        <v>0</v>
      </c>
      <c r="AC20" s="67">
        <f t="shared" si="1"/>
        <v>0</v>
      </c>
      <c r="AD20" s="67">
        <f t="shared" si="1"/>
        <v>0</v>
      </c>
      <c r="AE20" s="67">
        <f t="shared" si="1"/>
        <v>0</v>
      </c>
      <c r="AF20" s="67">
        <f t="shared" si="1"/>
        <v>26739.79</v>
      </c>
      <c r="AG20" s="67">
        <f t="shared" si="1"/>
        <v>0</v>
      </c>
      <c r="AH20" s="67">
        <f t="shared" si="2"/>
        <v>0</v>
      </c>
      <c r="AI20" s="67">
        <f t="shared" si="2"/>
        <v>0</v>
      </c>
      <c r="AJ20" s="67">
        <f t="shared" si="2"/>
        <v>0</v>
      </c>
      <c r="AK20" s="67">
        <f t="shared" si="2"/>
        <v>0</v>
      </c>
      <c r="AL20" s="67">
        <f t="shared" si="2"/>
        <v>0</v>
      </c>
      <c r="AM20" s="67">
        <f t="shared" si="2"/>
        <v>0</v>
      </c>
      <c r="AN20" s="67">
        <f t="shared" si="2"/>
        <v>0</v>
      </c>
      <c r="AO20" s="67">
        <f t="shared" si="2"/>
        <v>0</v>
      </c>
      <c r="AP20" s="67">
        <f t="shared" si="2"/>
        <v>26739.79</v>
      </c>
      <c r="AQ20" s="67">
        <f t="shared" si="2"/>
        <v>0</v>
      </c>
      <c r="AR20" s="67">
        <f t="shared" si="3"/>
        <v>0</v>
      </c>
      <c r="AS20" s="67">
        <f t="shared" si="3"/>
        <v>0</v>
      </c>
      <c r="AT20" s="67">
        <f t="shared" si="3"/>
        <v>0</v>
      </c>
      <c r="AU20" s="67">
        <f t="shared" si="3"/>
        <v>0</v>
      </c>
      <c r="AV20" s="67">
        <f t="shared" si="3"/>
        <v>0</v>
      </c>
      <c r="AW20" s="67">
        <f t="shared" si="3"/>
        <v>0</v>
      </c>
      <c r="AX20" s="67">
        <f t="shared" si="3"/>
        <v>0</v>
      </c>
      <c r="AY20" s="67">
        <f t="shared" si="3"/>
        <v>0</v>
      </c>
      <c r="AZ20" s="67">
        <f t="shared" si="3"/>
        <v>26739.79</v>
      </c>
      <c r="BA20" s="67">
        <f t="shared" si="3"/>
        <v>0</v>
      </c>
      <c r="BB20" s="265">
        <f t="shared" si="3"/>
        <v>0</v>
      </c>
    </row>
    <row r="21" spans="1:54" ht="15.75" thickBot="1" x14ac:dyDescent="0.3">
      <c r="A21" s="356"/>
      <c r="B21" s="262"/>
      <c r="C21" s="263"/>
      <c r="D21" s="263"/>
      <c r="E21" s="263"/>
      <c r="F21" s="3"/>
      <c r="G21" s="263"/>
      <c r="H21" s="262"/>
      <c r="I21" s="267"/>
      <c r="J21" s="3"/>
      <c r="K21" s="268"/>
      <c r="L21" s="66"/>
      <c r="M21" s="264"/>
      <c r="N21" s="269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1"/>
      <c r="BB21" s="272"/>
    </row>
    <row r="22" spans="1:54" s="3" customFormat="1" ht="16.5" thickBot="1" x14ac:dyDescent="0.3">
      <c r="A22" s="273"/>
      <c r="B22" s="100"/>
      <c r="C22" s="100"/>
      <c r="D22" s="100"/>
      <c r="E22" s="100"/>
      <c r="F22" s="101"/>
      <c r="G22" s="101"/>
      <c r="H22" s="101"/>
      <c r="I22" s="101"/>
      <c r="J22" s="101"/>
      <c r="K22" s="102"/>
      <c r="L22" s="103" t="s">
        <v>151</v>
      </c>
      <c r="M22" s="130"/>
      <c r="N22" s="104">
        <f t="shared" ref="N22:BB22" si="7">SUM(N12:N21)</f>
        <v>0</v>
      </c>
      <c r="O22" s="104">
        <f t="shared" si="7"/>
        <v>0</v>
      </c>
      <c r="P22" s="104">
        <f t="shared" si="7"/>
        <v>0</v>
      </c>
      <c r="Q22" s="104">
        <f t="shared" si="7"/>
        <v>47609.869999999995</v>
      </c>
      <c r="R22" s="104">
        <f t="shared" si="7"/>
        <v>0</v>
      </c>
      <c r="S22" s="104">
        <f t="shared" si="7"/>
        <v>0</v>
      </c>
      <c r="T22" s="104">
        <f t="shared" si="7"/>
        <v>0</v>
      </c>
      <c r="U22" s="104">
        <f t="shared" si="7"/>
        <v>0</v>
      </c>
      <c r="V22" s="104">
        <f t="shared" si="7"/>
        <v>589346.23</v>
      </c>
      <c r="W22" s="104">
        <f t="shared" si="7"/>
        <v>0</v>
      </c>
      <c r="X22" s="104">
        <f t="shared" si="7"/>
        <v>0</v>
      </c>
      <c r="Y22" s="104">
        <f t="shared" si="7"/>
        <v>0</v>
      </c>
      <c r="Z22" s="104">
        <f t="shared" si="7"/>
        <v>0</v>
      </c>
      <c r="AA22" s="104">
        <f t="shared" si="7"/>
        <v>0</v>
      </c>
      <c r="AB22" s="104">
        <f t="shared" si="7"/>
        <v>0</v>
      </c>
      <c r="AC22" s="104">
        <f t="shared" si="7"/>
        <v>0</v>
      </c>
      <c r="AD22" s="104">
        <f t="shared" si="7"/>
        <v>0</v>
      </c>
      <c r="AE22" s="104">
        <f t="shared" si="7"/>
        <v>0</v>
      </c>
      <c r="AF22" s="104">
        <f t="shared" si="7"/>
        <v>130523.91</v>
      </c>
      <c r="AG22" s="104">
        <f t="shared" si="7"/>
        <v>0</v>
      </c>
      <c r="AH22" s="104">
        <f t="shared" si="7"/>
        <v>0</v>
      </c>
      <c r="AI22" s="104">
        <f t="shared" si="7"/>
        <v>0</v>
      </c>
      <c r="AJ22" s="104">
        <f t="shared" si="7"/>
        <v>0</v>
      </c>
      <c r="AK22" s="104">
        <f t="shared" si="7"/>
        <v>0</v>
      </c>
      <c r="AL22" s="104">
        <f t="shared" si="7"/>
        <v>0</v>
      </c>
      <c r="AM22" s="104">
        <f t="shared" si="7"/>
        <v>0</v>
      </c>
      <c r="AN22" s="104">
        <f t="shared" si="7"/>
        <v>0</v>
      </c>
      <c r="AO22" s="104">
        <f t="shared" si="7"/>
        <v>0</v>
      </c>
      <c r="AP22" s="104">
        <f t="shared" si="7"/>
        <v>277894.64999999997</v>
      </c>
      <c r="AQ22" s="104">
        <f t="shared" si="7"/>
        <v>0</v>
      </c>
      <c r="AR22" s="104">
        <f t="shared" si="7"/>
        <v>0</v>
      </c>
      <c r="AS22" s="104">
        <f t="shared" si="7"/>
        <v>0</v>
      </c>
      <c r="AT22" s="104">
        <f t="shared" si="7"/>
        <v>0</v>
      </c>
      <c r="AU22" s="104">
        <f t="shared" si="7"/>
        <v>47609.869999999995</v>
      </c>
      <c r="AV22" s="104">
        <f t="shared" si="7"/>
        <v>0</v>
      </c>
      <c r="AW22" s="104">
        <f t="shared" si="7"/>
        <v>0</v>
      </c>
      <c r="AX22" s="104">
        <f t="shared" si="7"/>
        <v>0</v>
      </c>
      <c r="AY22" s="104">
        <f t="shared" si="7"/>
        <v>0</v>
      </c>
      <c r="AZ22" s="104">
        <f t="shared" si="7"/>
        <v>82914.040000000008</v>
      </c>
      <c r="BA22" s="104">
        <f t="shared" si="7"/>
        <v>0</v>
      </c>
      <c r="BB22" s="105">
        <f t="shared" si="7"/>
        <v>0</v>
      </c>
    </row>
    <row r="23" spans="1:54" x14ac:dyDescent="0.25">
      <c r="A23" s="274"/>
      <c r="K23" s="181"/>
      <c r="L23" s="181"/>
    </row>
    <row r="24" spans="1:54" ht="15.75" x14ac:dyDescent="0.25">
      <c r="A24" s="274"/>
      <c r="I24" s="275"/>
      <c r="K24" s="276" t="s">
        <v>152</v>
      </c>
      <c r="M24" s="277">
        <v>0.05</v>
      </c>
      <c r="N24" s="278">
        <f t="shared" ref="N24:BB24" si="8">(N22)*$M$24</f>
        <v>0</v>
      </c>
      <c r="O24" s="278">
        <f t="shared" si="8"/>
        <v>0</v>
      </c>
      <c r="P24" s="278">
        <f t="shared" si="8"/>
        <v>0</v>
      </c>
      <c r="Q24" s="278">
        <f t="shared" si="8"/>
        <v>2380.4935</v>
      </c>
      <c r="R24" s="278">
        <f t="shared" si="8"/>
        <v>0</v>
      </c>
      <c r="S24" s="278">
        <f t="shared" si="8"/>
        <v>0</v>
      </c>
      <c r="T24" s="278">
        <f t="shared" si="8"/>
        <v>0</v>
      </c>
      <c r="U24" s="278">
        <f t="shared" si="8"/>
        <v>0</v>
      </c>
      <c r="V24" s="278">
        <f t="shared" si="8"/>
        <v>29467.3115</v>
      </c>
      <c r="W24" s="278">
        <f t="shared" si="8"/>
        <v>0</v>
      </c>
      <c r="X24" s="278">
        <f t="shared" si="8"/>
        <v>0</v>
      </c>
      <c r="Y24" s="278">
        <f t="shared" si="8"/>
        <v>0</v>
      </c>
      <c r="Z24" s="278">
        <f t="shared" si="8"/>
        <v>0</v>
      </c>
      <c r="AA24" s="278">
        <f t="shared" si="8"/>
        <v>0</v>
      </c>
      <c r="AB24" s="278">
        <f t="shared" si="8"/>
        <v>0</v>
      </c>
      <c r="AC24" s="278">
        <f t="shared" si="8"/>
        <v>0</v>
      </c>
      <c r="AD24" s="278">
        <f t="shared" si="8"/>
        <v>0</v>
      </c>
      <c r="AE24" s="278">
        <f t="shared" si="8"/>
        <v>0</v>
      </c>
      <c r="AF24" s="278">
        <f t="shared" si="8"/>
        <v>6526.1955000000007</v>
      </c>
      <c r="AG24" s="278">
        <f t="shared" si="8"/>
        <v>0</v>
      </c>
      <c r="AH24" s="278">
        <f t="shared" si="8"/>
        <v>0</v>
      </c>
      <c r="AI24" s="278">
        <f t="shared" si="8"/>
        <v>0</v>
      </c>
      <c r="AJ24" s="278">
        <f t="shared" si="8"/>
        <v>0</v>
      </c>
      <c r="AK24" s="278">
        <f t="shared" si="8"/>
        <v>0</v>
      </c>
      <c r="AL24" s="278">
        <f t="shared" si="8"/>
        <v>0</v>
      </c>
      <c r="AM24" s="278">
        <f t="shared" si="8"/>
        <v>0</v>
      </c>
      <c r="AN24" s="278">
        <f t="shared" si="8"/>
        <v>0</v>
      </c>
      <c r="AO24" s="278">
        <f t="shared" si="8"/>
        <v>0</v>
      </c>
      <c r="AP24" s="278">
        <f t="shared" si="8"/>
        <v>13894.732499999998</v>
      </c>
      <c r="AQ24" s="278">
        <f t="shared" si="8"/>
        <v>0</v>
      </c>
      <c r="AR24" s="278">
        <f t="shared" si="8"/>
        <v>0</v>
      </c>
      <c r="AS24" s="278">
        <f t="shared" si="8"/>
        <v>0</v>
      </c>
      <c r="AT24" s="278">
        <f t="shared" si="8"/>
        <v>0</v>
      </c>
      <c r="AU24" s="278">
        <f t="shared" si="8"/>
        <v>2380.4935</v>
      </c>
      <c r="AV24" s="278">
        <f t="shared" si="8"/>
        <v>0</v>
      </c>
      <c r="AW24" s="278">
        <f t="shared" si="8"/>
        <v>0</v>
      </c>
      <c r="AX24" s="278">
        <f t="shared" si="8"/>
        <v>0</v>
      </c>
      <c r="AY24" s="278">
        <f t="shared" si="8"/>
        <v>0</v>
      </c>
      <c r="AZ24" s="278">
        <f t="shared" si="8"/>
        <v>4145.7020000000002</v>
      </c>
      <c r="BA24" s="278">
        <f t="shared" si="8"/>
        <v>0</v>
      </c>
      <c r="BB24" s="278">
        <f t="shared" si="8"/>
        <v>0</v>
      </c>
    </row>
    <row r="25" spans="1:54" ht="15.75" thickBot="1" x14ac:dyDescent="0.3">
      <c r="A25" s="274"/>
      <c r="I25" s="275"/>
    </row>
    <row r="26" spans="1:54" ht="16.5" thickBot="1" x14ac:dyDescent="0.3">
      <c r="A26" s="274"/>
      <c r="G26" s="181"/>
      <c r="I26" s="275"/>
      <c r="M26" s="208" t="s">
        <v>65</v>
      </c>
      <c r="N26" s="104">
        <f t="shared" ref="N26:BB26" si="9">SUM(N22:N24)</f>
        <v>0</v>
      </c>
      <c r="O26" s="104">
        <f t="shared" si="9"/>
        <v>0</v>
      </c>
      <c r="P26" s="104">
        <f t="shared" si="9"/>
        <v>0</v>
      </c>
      <c r="Q26" s="104">
        <f t="shared" si="9"/>
        <v>49990.363499999992</v>
      </c>
      <c r="R26" s="104">
        <f t="shared" si="9"/>
        <v>0</v>
      </c>
      <c r="S26" s="104">
        <f t="shared" si="9"/>
        <v>0</v>
      </c>
      <c r="T26" s="104">
        <f t="shared" si="9"/>
        <v>0</v>
      </c>
      <c r="U26" s="104">
        <f t="shared" si="9"/>
        <v>0</v>
      </c>
      <c r="V26" s="104">
        <f t="shared" si="9"/>
        <v>618813.54149999993</v>
      </c>
      <c r="W26" s="104">
        <f t="shared" si="9"/>
        <v>0</v>
      </c>
      <c r="X26" s="104">
        <f t="shared" si="9"/>
        <v>0</v>
      </c>
      <c r="Y26" s="104">
        <f t="shared" si="9"/>
        <v>0</v>
      </c>
      <c r="Z26" s="104">
        <f t="shared" si="9"/>
        <v>0</v>
      </c>
      <c r="AA26" s="104">
        <f t="shared" si="9"/>
        <v>0</v>
      </c>
      <c r="AB26" s="104">
        <f t="shared" si="9"/>
        <v>0</v>
      </c>
      <c r="AC26" s="104">
        <f t="shared" si="9"/>
        <v>0</v>
      </c>
      <c r="AD26" s="104">
        <f t="shared" si="9"/>
        <v>0</v>
      </c>
      <c r="AE26" s="104">
        <f t="shared" si="9"/>
        <v>0</v>
      </c>
      <c r="AF26" s="104">
        <f t="shared" si="9"/>
        <v>137050.10550000001</v>
      </c>
      <c r="AG26" s="104">
        <f t="shared" si="9"/>
        <v>0</v>
      </c>
      <c r="AH26" s="104">
        <f t="shared" si="9"/>
        <v>0</v>
      </c>
      <c r="AI26" s="104">
        <f t="shared" si="9"/>
        <v>0</v>
      </c>
      <c r="AJ26" s="104">
        <f t="shared" si="9"/>
        <v>0</v>
      </c>
      <c r="AK26" s="104">
        <f t="shared" si="9"/>
        <v>0</v>
      </c>
      <c r="AL26" s="104">
        <f t="shared" si="9"/>
        <v>0</v>
      </c>
      <c r="AM26" s="104">
        <f t="shared" si="9"/>
        <v>0</v>
      </c>
      <c r="AN26" s="104">
        <f t="shared" si="9"/>
        <v>0</v>
      </c>
      <c r="AO26" s="104">
        <f t="shared" si="9"/>
        <v>0</v>
      </c>
      <c r="AP26" s="104">
        <f t="shared" si="9"/>
        <v>291789.38249999995</v>
      </c>
      <c r="AQ26" s="104">
        <f t="shared" si="9"/>
        <v>0</v>
      </c>
      <c r="AR26" s="104">
        <f t="shared" si="9"/>
        <v>0</v>
      </c>
      <c r="AS26" s="104">
        <f t="shared" si="9"/>
        <v>0</v>
      </c>
      <c r="AT26" s="104">
        <f t="shared" si="9"/>
        <v>0</v>
      </c>
      <c r="AU26" s="104">
        <f t="shared" si="9"/>
        <v>49990.363499999992</v>
      </c>
      <c r="AV26" s="104">
        <f t="shared" si="9"/>
        <v>0</v>
      </c>
      <c r="AW26" s="104">
        <f t="shared" si="9"/>
        <v>0</v>
      </c>
      <c r="AX26" s="104">
        <f t="shared" si="9"/>
        <v>0</v>
      </c>
      <c r="AY26" s="104">
        <f t="shared" si="9"/>
        <v>0</v>
      </c>
      <c r="AZ26" s="104">
        <f t="shared" si="9"/>
        <v>87059.742000000013</v>
      </c>
      <c r="BA26" s="104">
        <f t="shared" si="9"/>
        <v>0</v>
      </c>
      <c r="BB26" s="105">
        <f t="shared" si="9"/>
        <v>0</v>
      </c>
    </row>
    <row r="27" spans="1:54" x14ac:dyDescent="0.25">
      <c r="A27" s="274"/>
      <c r="I27" s="275"/>
    </row>
    <row r="28" spans="1:54" ht="15.75" x14ac:dyDescent="0.25">
      <c r="A28" s="274"/>
      <c r="I28" s="275"/>
      <c r="M28" s="208"/>
      <c r="N28" s="279"/>
    </row>
    <row r="29" spans="1:54" ht="15.75" x14ac:dyDescent="0.25">
      <c r="A29" s="274"/>
      <c r="I29" s="275"/>
      <c r="M29" s="208"/>
      <c r="N29" s="279"/>
    </row>
    <row r="30" spans="1:54" x14ac:dyDescent="0.25">
      <c r="A30" s="274"/>
      <c r="I30" s="275"/>
    </row>
    <row r="31" spans="1:54" x14ac:dyDescent="0.25">
      <c r="A31" s="274"/>
      <c r="I31" s="275"/>
      <c r="L31" s="181"/>
    </row>
    <row r="32" spans="1:54" x14ac:dyDescent="0.25">
      <c r="A32" s="274"/>
    </row>
    <row r="33" spans="1:1" x14ac:dyDescent="0.25">
      <c r="A33" s="274"/>
    </row>
    <row r="34" spans="1:1" x14ac:dyDescent="0.25">
      <c r="A34" s="274"/>
    </row>
    <row r="35" spans="1:1" x14ac:dyDescent="0.25">
      <c r="A35" s="274"/>
    </row>
    <row r="36" spans="1:1" x14ac:dyDescent="0.25">
      <c r="A36" s="274"/>
    </row>
    <row r="37" spans="1:1" x14ac:dyDescent="0.25">
      <c r="A37" s="274"/>
    </row>
    <row r="38" spans="1:1" x14ac:dyDescent="0.25">
      <c r="A38" s="274"/>
    </row>
    <row r="39" spans="1:1" x14ac:dyDescent="0.25">
      <c r="A39" s="274"/>
    </row>
    <row r="40" spans="1:1" x14ac:dyDescent="0.25">
      <c r="A40" s="274"/>
    </row>
    <row r="41" spans="1:1" x14ac:dyDescent="0.25">
      <c r="A41" s="274"/>
    </row>
    <row r="42" spans="1:1" x14ac:dyDescent="0.25">
      <c r="A42" s="274"/>
    </row>
    <row r="43" spans="1:1" x14ac:dyDescent="0.25">
      <c r="A43" s="274"/>
    </row>
    <row r="44" spans="1:1" x14ac:dyDescent="0.25">
      <c r="A44" s="274"/>
    </row>
    <row r="45" spans="1:1" x14ac:dyDescent="0.25">
      <c r="A45" s="274"/>
    </row>
    <row r="46" spans="1:1" x14ac:dyDescent="0.25">
      <c r="A46" s="274"/>
    </row>
    <row r="47" spans="1:1" x14ac:dyDescent="0.25">
      <c r="A47" s="274"/>
    </row>
    <row r="48" spans="1:1" x14ac:dyDescent="0.25">
      <c r="A48" s="274"/>
    </row>
    <row r="49" spans="1:1" x14ac:dyDescent="0.25">
      <c r="A49" s="274"/>
    </row>
  </sheetData>
  <mergeCells count="1">
    <mergeCell ref="A12:A21"/>
  </mergeCells>
  <conditionalFormatting sqref="J12:J20">
    <cfRule type="cellIs" dxfId="0" priority="1" stopIfTrue="1" operator="notEqual">
      <formula>I12</formula>
    </cfRule>
  </conditionalFormatting>
  <dataValidations disablePrompts="1" count="1">
    <dataValidation type="list" allowBlank="1" showInputMessage="1" showErrorMessage="1" sqref="E12:E21" xr:uid="{7A4ACA77-0B33-48D6-BDB1-99ECAEB4D113}">
      <formula1>$G$3:$G$8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D927-8769-426B-A9FF-189847642B95}">
  <dimension ref="A1:R57"/>
  <sheetViews>
    <sheetView zoomScale="85" zoomScaleNormal="85" workbookViewId="0">
      <selection activeCell="H64" sqref="H64"/>
    </sheetView>
  </sheetViews>
  <sheetFormatPr defaultRowHeight="15" x14ac:dyDescent="0.25"/>
  <cols>
    <col min="1" max="1" width="27.7109375" bestFit="1" customWidth="1"/>
    <col min="2" max="3" width="15.7109375" customWidth="1"/>
    <col min="4" max="4" width="1.85546875" customWidth="1"/>
    <col min="5" max="6" width="15.7109375" customWidth="1"/>
    <col min="7" max="7" width="1.85546875" customWidth="1"/>
    <col min="8" max="9" width="15.7109375" customWidth="1"/>
    <col min="10" max="10" width="1.85546875" customWidth="1"/>
    <col min="11" max="12" width="15.7109375" customWidth="1"/>
    <col min="13" max="13" width="1.85546875" customWidth="1"/>
    <col min="14" max="15" width="15.7109375" customWidth="1"/>
    <col min="16" max="16" width="1.85546875" customWidth="1"/>
    <col min="17" max="18" width="15.7109375" customWidth="1"/>
  </cols>
  <sheetData>
    <row r="1" spans="1:18" x14ac:dyDescent="0.25">
      <c r="A1" s="364" t="s">
        <v>200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</row>
    <row r="2" spans="1:18" ht="30" x14ac:dyDescent="0.25">
      <c r="A2" s="297"/>
      <c r="B2" s="298" t="s">
        <v>199</v>
      </c>
      <c r="C2" s="298" t="s">
        <v>198</v>
      </c>
      <c r="D2" s="298"/>
      <c r="E2" s="298" t="s">
        <v>169</v>
      </c>
      <c r="F2" s="298" t="s">
        <v>168</v>
      </c>
      <c r="G2" s="298"/>
      <c r="H2" s="298" t="s">
        <v>197</v>
      </c>
      <c r="I2" s="298" t="s">
        <v>196</v>
      </c>
      <c r="J2" s="298"/>
      <c r="K2" s="298" t="s">
        <v>195</v>
      </c>
      <c r="L2" s="298" t="s">
        <v>194</v>
      </c>
      <c r="M2" s="298"/>
      <c r="N2" s="298" t="s">
        <v>193</v>
      </c>
      <c r="O2" s="298" t="s">
        <v>192</v>
      </c>
      <c r="P2" s="298"/>
      <c r="Q2" s="298" t="s">
        <v>191</v>
      </c>
      <c r="R2" s="298" t="s">
        <v>190</v>
      </c>
    </row>
    <row r="3" spans="1:18" x14ac:dyDescent="0.25">
      <c r="A3" s="296" t="s">
        <v>167</v>
      </c>
      <c r="B3" s="357" t="s">
        <v>189</v>
      </c>
      <c r="C3" s="357"/>
      <c r="D3" s="299"/>
      <c r="E3" s="357" t="s">
        <v>188</v>
      </c>
      <c r="F3" s="357"/>
      <c r="G3" s="299"/>
      <c r="H3" s="357" t="s">
        <v>187</v>
      </c>
      <c r="I3" s="357"/>
      <c r="J3" s="299"/>
      <c r="K3" s="357" t="s">
        <v>186</v>
      </c>
      <c r="L3" s="357"/>
      <c r="M3" s="299"/>
      <c r="N3" s="357" t="s">
        <v>172</v>
      </c>
      <c r="O3" s="357"/>
      <c r="P3" s="299"/>
      <c r="Q3" s="357" t="s">
        <v>185</v>
      </c>
      <c r="R3" s="357"/>
    </row>
    <row r="4" spans="1:18" x14ac:dyDescent="0.25">
      <c r="A4" s="293" t="s">
        <v>136</v>
      </c>
      <c r="B4" s="295">
        <f t="shared" ref="B4:B12" si="0">(E4/207)*131</f>
        <v>38951.932367149762</v>
      </c>
      <c r="C4" s="294">
        <f t="shared" ref="C4:C12" si="1">B4*1.21</f>
        <v>47131.83816425121</v>
      </c>
      <c r="D4" s="294"/>
      <c r="E4" s="295">
        <v>61550</v>
      </c>
      <c r="F4" s="294">
        <f t="shared" ref="F4:F12" si="2">E4*1.21</f>
        <v>74475.5</v>
      </c>
      <c r="G4" s="294"/>
      <c r="H4" s="295">
        <v>83812</v>
      </c>
      <c r="I4" s="295">
        <f t="shared" ref="I4:I12" si="3">H4*1.21</f>
        <v>101412.52</v>
      </c>
      <c r="J4" s="293"/>
      <c r="K4" s="295">
        <v>113278</v>
      </c>
      <c r="L4" s="295">
        <f t="shared" ref="L4:L12" si="4">K4*1.21</f>
        <v>137066.38</v>
      </c>
      <c r="M4" s="293"/>
      <c r="N4" s="295">
        <v>136195</v>
      </c>
      <c r="O4" s="295">
        <f t="shared" ref="O4:O12" si="5">N4*1.21</f>
        <v>164795.94999999998</v>
      </c>
      <c r="P4" s="293"/>
      <c r="Q4" s="295">
        <v>188578</v>
      </c>
      <c r="R4" s="295">
        <f t="shared" ref="R4:R12" si="6">Q4*1.21</f>
        <v>228179.38</v>
      </c>
    </row>
    <row r="5" spans="1:18" x14ac:dyDescent="0.25">
      <c r="A5" s="293" t="s">
        <v>137</v>
      </c>
      <c r="B5" s="295">
        <f t="shared" si="0"/>
        <v>35464.927536231888</v>
      </c>
      <c r="C5" s="294">
        <f t="shared" si="1"/>
        <v>42912.562318840581</v>
      </c>
      <c r="D5" s="294"/>
      <c r="E5" s="295">
        <v>56040</v>
      </c>
      <c r="F5" s="294">
        <f t="shared" si="2"/>
        <v>67808.399999999994</v>
      </c>
      <c r="G5" s="294"/>
      <c r="H5" s="295">
        <v>76310</v>
      </c>
      <c r="I5" s="295">
        <f t="shared" si="3"/>
        <v>92335.099999999991</v>
      </c>
      <c r="J5" s="293"/>
      <c r="K5" s="295">
        <v>103137</v>
      </c>
      <c r="L5" s="295">
        <f t="shared" si="4"/>
        <v>124795.76999999999</v>
      </c>
      <c r="M5" s="293"/>
      <c r="N5" s="295">
        <v>124003</v>
      </c>
      <c r="O5" s="295">
        <f t="shared" si="5"/>
        <v>150043.63</v>
      </c>
      <c r="P5" s="293"/>
      <c r="Q5" s="295">
        <v>171696</v>
      </c>
      <c r="R5" s="295">
        <f t="shared" si="6"/>
        <v>207752.16</v>
      </c>
    </row>
    <row r="6" spans="1:18" x14ac:dyDescent="0.25">
      <c r="A6" s="293" t="s">
        <v>138</v>
      </c>
      <c r="B6" s="295">
        <f t="shared" si="0"/>
        <v>45212.086956521736</v>
      </c>
      <c r="C6" s="294">
        <f t="shared" si="1"/>
        <v>54706.625217391302</v>
      </c>
      <c r="D6" s="294"/>
      <c r="E6" s="295">
        <v>71442</v>
      </c>
      <c r="F6" s="294">
        <f t="shared" si="2"/>
        <v>86444.819999999992</v>
      </c>
      <c r="G6" s="294"/>
      <c r="H6" s="295">
        <v>97276</v>
      </c>
      <c r="I6" s="295">
        <f t="shared" si="3"/>
        <v>117703.95999999999</v>
      </c>
      <c r="J6" s="293"/>
      <c r="K6" s="295">
        <v>131475</v>
      </c>
      <c r="L6" s="295">
        <f t="shared" si="4"/>
        <v>159084.75</v>
      </c>
      <c r="M6" s="293"/>
      <c r="N6" s="295">
        <v>158078</v>
      </c>
      <c r="O6" s="295">
        <f t="shared" si="5"/>
        <v>191274.38</v>
      </c>
      <c r="P6" s="293"/>
      <c r="Q6" s="295">
        <v>218870</v>
      </c>
      <c r="R6" s="295">
        <f t="shared" si="6"/>
        <v>264832.7</v>
      </c>
    </row>
    <row r="7" spans="1:18" x14ac:dyDescent="0.25">
      <c r="A7" s="293" t="s">
        <v>140</v>
      </c>
      <c r="B7" s="295">
        <f t="shared" si="0"/>
        <v>22805.391304347824</v>
      </c>
      <c r="C7" s="294">
        <f t="shared" si="1"/>
        <v>27594.523478260868</v>
      </c>
      <c r="D7" s="294"/>
      <c r="E7" s="295">
        <v>36036</v>
      </c>
      <c r="F7" s="294">
        <f t="shared" si="2"/>
        <v>43603.56</v>
      </c>
      <c r="G7" s="294"/>
      <c r="H7" s="295">
        <v>49070</v>
      </c>
      <c r="I7" s="295">
        <f t="shared" si="3"/>
        <v>59374.7</v>
      </c>
      <c r="J7" s="293"/>
      <c r="K7" s="295">
        <v>66321</v>
      </c>
      <c r="L7" s="295">
        <f t="shared" si="4"/>
        <v>80248.41</v>
      </c>
      <c r="M7" s="293"/>
      <c r="N7" s="295">
        <v>79739</v>
      </c>
      <c r="O7" s="295">
        <f t="shared" si="5"/>
        <v>96484.19</v>
      </c>
      <c r="P7" s="293"/>
      <c r="Q7" s="295">
        <v>110408</v>
      </c>
      <c r="R7" s="295">
        <f t="shared" si="6"/>
        <v>133593.68</v>
      </c>
    </row>
    <row r="8" spans="1:18" x14ac:dyDescent="0.25">
      <c r="A8" s="293" t="s">
        <v>142</v>
      </c>
      <c r="B8" s="295">
        <f t="shared" si="0"/>
        <v>18117.236714975843</v>
      </c>
      <c r="C8" s="294">
        <f t="shared" si="1"/>
        <v>21921.856425120768</v>
      </c>
      <c r="D8" s="294"/>
      <c r="E8" s="295">
        <v>28628</v>
      </c>
      <c r="F8" s="294">
        <f t="shared" si="2"/>
        <v>34639.879999999997</v>
      </c>
      <c r="G8" s="294"/>
      <c r="H8" s="295">
        <v>38983</v>
      </c>
      <c r="I8" s="295">
        <f t="shared" si="3"/>
        <v>47169.43</v>
      </c>
      <c r="J8" s="293"/>
      <c r="K8" s="295">
        <v>52687</v>
      </c>
      <c r="L8" s="295">
        <f t="shared" si="4"/>
        <v>63751.27</v>
      </c>
      <c r="M8" s="293"/>
      <c r="N8" s="295">
        <v>63347</v>
      </c>
      <c r="O8" s="295">
        <f t="shared" si="5"/>
        <v>76649.87</v>
      </c>
      <c r="P8" s="293"/>
      <c r="Q8" s="295">
        <v>87711</v>
      </c>
      <c r="R8" s="295">
        <f t="shared" si="6"/>
        <v>106130.31</v>
      </c>
    </row>
    <row r="9" spans="1:18" x14ac:dyDescent="0.25">
      <c r="A9" s="293" t="s">
        <v>144</v>
      </c>
      <c r="B9" s="295">
        <f t="shared" si="0"/>
        <v>21576.396135265699</v>
      </c>
      <c r="C9" s="294">
        <f t="shared" si="1"/>
        <v>26107.439323671493</v>
      </c>
      <c r="D9" s="294"/>
      <c r="E9" s="295">
        <v>34094</v>
      </c>
      <c r="F9" s="294">
        <f t="shared" si="2"/>
        <v>41253.74</v>
      </c>
      <c r="G9" s="294"/>
      <c r="H9" s="295">
        <v>46425</v>
      </c>
      <c r="I9" s="295">
        <f t="shared" si="3"/>
        <v>56174.25</v>
      </c>
      <c r="J9" s="293"/>
      <c r="K9" s="295">
        <v>62747</v>
      </c>
      <c r="L9" s="295">
        <f t="shared" si="4"/>
        <v>75923.87</v>
      </c>
      <c r="M9" s="293"/>
      <c r="N9" s="295">
        <v>75441</v>
      </c>
      <c r="O9" s="295">
        <f t="shared" si="5"/>
        <v>91283.61</v>
      </c>
      <c r="P9" s="293"/>
      <c r="Q9" s="295">
        <v>104457</v>
      </c>
      <c r="R9" s="295">
        <f t="shared" si="6"/>
        <v>126392.97</v>
      </c>
    </row>
    <row r="10" spans="1:18" x14ac:dyDescent="0.25">
      <c r="A10" s="293" t="s">
        <v>146</v>
      </c>
      <c r="B10" s="295">
        <f t="shared" si="0"/>
        <v>33967.603864734301</v>
      </c>
      <c r="C10" s="294">
        <f t="shared" si="1"/>
        <v>41100.800676328501</v>
      </c>
      <c r="D10" s="294"/>
      <c r="E10" s="295">
        <v>53674</v>
      </c>
      <c r="F10" s="294">
        <f t="shared" si="2"/>
        <v>64945.54</v>
      </c>
      <c r="G10" s="294"/>
      <c r="H10" s="295">
        <v>73088</v>
      </c>
      <c r="I10" s="295">
        <f t="shared" si="3"/>
        <v>88436.479999999996</v>
      </c>
      <c r="J10" s="293"/>
      <c r="K10" s="295">
        <v>98783</v>
      </c>
      <c r="L10" s="295">
        <f t="shared" si="4"/>
        <v>119527.43</v>
      </c>
      <c r="M10" s="293"/>
      <c r="N10" s="295">
        <v>118767</v>
      </c>
      <c r="O10" s="295">
        <f t="shared" si="5"/>
        <v>143708.07</v>
      </c>
      <c r="P10" s="293"/>
      <c r="Q10" s="295">
        <v>164447</v>
      </c>
      <c r="R10" s="295">
        <f t="shared" si="6"/>
        <v>198980.87</v>
      </c>
    </row>
    <row r="11" spans="1:18" x14ac:dyDescent="0.25">
      <c r="A11" s="293" t="s">
        <v>148</v>
      </c>
      <c r="B11" s="295">
        <f t="shared" si="0"/>
        <v>18286.840579710144</v>
      </c>
      <c r="C11" s="294">
        <f t="shared" si="1"/>
        <v>22127.077101449275</v>
      </c>
      <c r="D11" s="294"/>
      <c r="E11" s="295">
        <v>28896</v>
      </c>
      <c r="F11" s="294">
        <f t="shared" si="2"/>
        <v>34964.159999999996</v>
      </c>
      <c r="G11" s="294"/>
      <c r="H11" s="295">
        <v>39347</v>
      </c>
      <c r="I11" s="295">
        <f t="shared" si="3"/>
        <v>47609.869999999995</v>
      </c>
      <c r="J11" s="293"/>
      <c r="K11" s="295">
        <v>53180</v>
      </c>
      <c r="L11" s="295">
        <f t="shared" si="4"/>
        <v>64347.799999999996</v>
      </c>
      <c r="M11" s="293"/>
      <c r="N11" s="295">
        <v>63939</v>
      </c>
      <c r="O11" s="295">
        <f t="shared" si="5"/>
        <v>77366.19</v>
      </c>
      <c r="P11" s="293"/>
      <c r="Q11" s="295">
        <v>88532</v>
      </c>
      <c r="R11" s="295">
        <f t="shared" si="6"/>
        <v>107123.72</v>
      </c>
    </row>
    <row r="12" spans="1:18" x14ac:dyDescent="0.25">
      <c r="A12" s="289" t="s">
        <v>150</v>
      </c>
      <c r="B12" s="292">
        <f t="shared" si="0"/>
        <v>10270.526570048309</v>
      </c>
      <c r="C12" s="291">
        <f t="shared" si="1"/>
        <v>12427.337149758454</v>
      </c>
      <c r="D12" s="291"/>
      <c r="E12" s="292">
        <v>16229</v>
      </c>
      <c r="F12" s="291">
        <f t="shared" si="2"/>
        <v>19637.09</v>
      </c>
      <c r="G12" s="291"/>
      <c r="H12" s="292">
        <v>22099</v>
      </c>
      <c r="I12" s="292">
        <f t="shared" si="3"/>
        <v>26739.79</v>
      </c>
      <c r="J12" s="289"/>
      <c r="K12" s="292">
        <v>29868</v>
      </c>
      <c r="L12" s="292">
        <f t="shared" si="4"/>
        <v>36140.28</v>
      </c>
      <c r="M12" s="289"/>
      <c r="N12" s="292">
        <v>35910</v>
      </c>
      <c r="O12" s="292">
        <f t="shared" si="5"/>
        <v>43451.1</v>
      </c>
      <c r="P12" s="289"/>
      <c r="Q12" s="292">
        <v>49722</v>
      </c>
      <c r="R12" s="292">
        <f t="shared" si="6"/>
        <v>60163.619999999995</v>
      </c>
    </row>
    <row r="13" spans="1:18" x14ac:dyDescent="0.25">
      <c r="A13" s="289"/>
      <c r="B13" s="290">
        <f>SUM(B4:B12)</f>
        <v>244652.94202898548</v>
      </c>
      <c r="C13" s="290">
        <f>SUM(C4:C12)</f>
        <v>296030.05985507247</v>
      </c>
      <c r="D13" s="290"/>
      <c r="E13" s="290">
        <f>SUM(E4:E12)</f>
        <v>386589</v>
      </c>
      <c r="F13" s="290">
        <f>SUM(F4:F12)</f>
        <v>467772.68999999994</v>
      </c>
      <c r="G13" s="290"/>
      <c r="H13" s="290">
        <f>SUM(H4:H12)</f>
        <v>526410</v>
      </c>
      <c r="I13" s="290">
        <f>SUM(I4:I12)</f>
        <v>636956.1</v>
      </c>
      <c r="J13" s="290"/>
      <c r="K13" s="290">
        <f>SUM(K4:K12)</f>
        <v>711476</v>
      </c>
      <c r="L13" s="290">
        <f>SUM(L4:L12)</f>
        <v>860885.9600000002</v>
      </c>
      <c r="M13" s="290"/>
      <c r="N13" s="290">
        <f>SUM(N4:N12)</f>
        <v>855419</v>
      </c>
      <c r="O13" s="290">
        <f>SUM(O4:O12)</f>
        <v>1035056.9899999999</v>
      </c>
      <c r="P13" s="290"/>
      <c r="Q13" s="290">
        <f>SUM(Q4:Q12)</f>
        <v>1184421</v>
      </c>
      <c r="R13" s="290">
        <f>SUM(R4:R12)</f>
        <v>1433149.4099999997</v>
      </c>
    </row>
    <row r="14" spans="1:18" x14ac:dyDescent="0.25">
      <c r="B14" s="181"/>
      <c r="C14" s="181"/>
      <c r="E14" s="181"/>
    </row>
    <row r="16" spans="1:18" x14ac:dyDescent="0.25">
      <c r="A16" s="358" t="s">
        <v>184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</row>
    <row r="17" spans="1:12" ht="30" x14ac:dyDescent="0.25">
      <c r="A17" s="297"/>
      <c r="B17" s="298" t="s">
        <v>183</v>
      </c>
      <c r="C17" s="298" t="s">
        <v>182</v>
      </c>
      <c r="D17" s="298"/>
      <c r="E17" s="298" t="s">
        <v>181</v>
      </c>
      <c r="F17" s="298" t="s">
        <v>180</v>
      </c>
      <c r="G17" s="298"/>
      <c r="H17" s="298" t="s">
        <v>179</v>
      </c>
      <c r="I17" s="298" t="s">
        <v>178</v>
      </c>
      <c r="J17" s="298"/>
      <c r="K17" s="298" t="s">
        <v>177</v>
      </c>
      <c r="L17" s="298" t="s">
        <v>176</v>
      </c>
    </row>
    <row r="18" spans="1:12" x14ac:dyDescent="0.25">
      <c r="A18" s="296" t="s">
        <v>167</v>
      </c>
      <c r="B18" s="301" t="s">
        <v>175</v>
      </c>
      <c r="C18" s="300"/>
      <c r="D18" s="299"/>
      <c r="E18" s="301" t="s">
        <v>174</v>
      </c>
      <c r="F18" s="300"/>
      <c r="G18" s="299"/>
      <c r="H18" s="301" t="s">
        <v>173</v>
      </c>
      <c r="I18" s="300"/>
      <c r="J18" s="299"/>
      <c r="K18" s="357" t="s">
        <v>172</v>
      </c>
      <c r="L18" s="357"/>
    </row>
    <row r="19" spans="1:12" x14ac:dyDescent="0.25">
      <c r="A19" s="293" t="s">
        <v>136</v>
      </c>
      <c r="B19" s="295">
        <v>23810</v>
      </c>
      <c r="C19" s="294">
        <f t="shared" ref="C19:C27" si="7">B19*1.21</f>
        <v>28810.1</v>
      </c>
      <c r="D19" s="294"/>
      <c r="E19" s="295">
        <v>27174</v>
      </c>
      <c r="F19" s="295">
        <f t="shared" ref="F19:F27" si="8">E19*1.21</f>
        <v>32880.54</v>
      </c>
      <c r="G19" s="293"/>
      <c r="H19" s="295">
        <v>34213</v>
      </c>
      <c r="I19" s="295">
        <f t="shared" ref="I19:I27" si="9">H19*1.21</f>
        <v>41397.729999999996</v>
      </c>
      <c r="J19" s="293"/>
      <c r="K19" s="295">
        <v>48127</v>
      </c>
      <c r="L19" s="295">
        <f t="shared" ref="L19:L27" si="10">K19*1.21</f>
        <v>58233.67</v>
      </c>
    </row>
    <row r="20" spans="1:12" x14ac:dyDescent="0.25">
      <c r="A20" s="293" t="s">
        <v>137</v>
      </c>
      <c r="B20" s="295">
        <v>21679</v>
      </c>
      <c r="C20" s="294">
        <f t="shared" si="7"/>
        <v>26231.59</v>
      </c>
      <c r="D20" s="294"/>
      <c r="E20" s="295">
        <v>24741</v>
      </c>
      <c r="F20" s="295">
        <f t="shared" si="8"/>
        <v>29936.61</v>
      </c>
      <c r="G20" s="293"/>
      <c r="H20" s="295">
        <v>31150</v>
      </c>
      <c r="I20" s="295">
        <f t="shared" si="9"/>
        <v>37691.5</v>
      </c>
      <c r="J20" s="293"/>
      <c r="K20" s="295">
        <v>43818</v>
      </c>
      <c r="L20" s="295">
        <f t="shared" si="10"/>
        <v>53019.78</v>
      </c>
    </row>
    <row r="21" spans="1:12" x14ac:dyDescent="0.25">
      <c r="A21" s="293" t="s">
        <v>138</v>
      </c>
      <c r="B21" s="295">
        <v>27639</v>
      </c>
      <c r="C21" s="294">
        <f t="shared" si="7"/>
        <v>33443.19</v>
      </c>
      <c r="D21" s="294"/>
      <c r="E21" s="295">
        <v>31543</v>
      </c>
      <c r="F21" s="295">
        <f t="shared" si="8"/>
        <v>38167.03</v>
      </c>
      <c r="G21" s="293"/>
      <c r="H21" s="295">
        <v>39704</v>
      </c>
      <c r="I21" s="295">
        <f t="shared" si="9"/>
        <v>48041.84</v>
      </c>
      <c r="J21" s="293"/>
      <c r="K21" s="295">
        <v>55860</v>
      </c>
      <c r="L21" s="295">
        <f t="shared" si="10"/>
        <v>67590.599999999991</v>
      </c>
    </row>
    <row r="22" spans="1:12" x14ac:dyDescent="0.25">
      <c r="A22" s="293" t="s">
        <v>140</v>
      </c>
      <c r="B22" s="295">
        <v>13940</v>
      </c>
      <c r="C22" s="294">
        <f t="shared" si="7"/>
        <v>16867.399999999998</v>
      </c>
      <c r="D22" s="294"/>
      <c r="E22" s="295">
        <v>15909</v>
      </c>
      <c r="F22" s="295">
        <f t="shared" si="8"/>
        <v>19249.89</v>
      </c>
      <c r="G22" s="293"/>
      <c r="H22" s="295">
        <v>20031</v>
      </c>
      <c r="I22" s="295">
        <f t="shared" si="9"/>
        <v>24237.51</v>
      </c>
      <c r="J22" s="293"/>
      <c r="K22" s="295">
        <v>28177</v>
      </c>
      <c r="L22" s="295">
        <f t="shared" si="10"/>
        <v>34094.17</v>
      </c>
    </row>
    <row r="23" spans="1:12" x14ac:dyDescent="0.25">
      <c r="A23" s="293" t="s">
        <v>142</v>
      </c>
      <c r="B23" s="295">
        <v>11075</v>
      </c>
      <c r="C23" s="294">
        <f t="shared" si="7"/>
        <v>13400.75</v>
      </c>
      <c r="D23" s="294"/>
      <c r="E23" s="295">
        <v>12639</v>
      </c>
      <c r="F23" s="295">
        <f t="shared" si="8"/>
        <v>15293.189999999999</v>
      </c>
      <c r="G23" s="293"/>
      <c r="H23" s="295">
        <v>15913</v>
      </c>
      <c r="I23" s="295">
        <f t="shared" si="9"/>
        <v>19254.73</v>
      </c>
      <c r="J23" s="293"/>
      <c r="K23" s="295">
        <v>22385</v>
      </c>
      <c r="L23" s="295">
        <f t="shared" si="10"/>
        <v>27085.85</v>
      </c>
    </row>
    <row r="24" spans="1:12" x14ac:dyDescent="0.25">
      <c r="A24" s="293" t="s">
        <v>144</v>
      </c>
      <c r="B24" s="295">
        <v>13189</v>
      </c>
      <c r="C24" s="294">
        <f t="shared" si="7"/>
        <v>15958.689999999999</v>
      </c>
      <c r="D24" s="294"/>
      <c r="E24" s="295">
        <v>15052</v>
      </c>
      <c r="F24" s="295">
        <f t="shared" si="8"/>
        <v>18212.919999999998</v>
      </c>
      <c r="G24" s="293"/>
      <c r="H24" s="295">
        <v>18951</v>
      </c>
      <c r="I24" s="295">
        <f t="shared" si="9"/>
        <v>22930.71</v>
      </c>
      <c r="J24" s="293"/>
      <c r="K24" s="295">
        <v>26658</v>
      </c>
      <c r="L24" s="295">
        <f t="shared" si="10"/>
        <v>32256.18</v>
      </c>
    </row>
    <row r="25" spans="1:12" x14ac:dyDescent="0.25">
      <c r="A25" s="293" t="s">
        <v>146</v>
      </c>
      <c r="B25" s="295">
        <v>20764</v>
      </c>
      <c r="C25" s="294">
        <f t="shared" si="7"/>
        <v>25124.44</v>
      </c>
      <c r="D25" s="294"/>
      <c r="E25" s="295">
        <v>23696</v>
      </c>
      <c r="F25" s="295">
        <f t="shared" si="8"/>
        <v>28672.16</v>
      </c>
      <c r="G25" s="293"/>
      <c r="H25" s="295">
        <v>29835</v>
      </c>
      <c r="I25" s="295">
        <f t="shared" si="9"/>
        <v>36100.35</v>
      </c>
      <c r="J25" s="293"/>
      <c r="K25" s="295">
        <v>41968</v>
      </c>
      <c r="L25" s="295">
        <f t="shared" si="10"/>
        <v>50781.279999999999</v>
      </c>
    </row>
    <row r="26" spans="1:12" x14ac:dyDescent="0.25">
      <c r="A26" s="293" t="s">
        <v>148</v>
      </c>
      <c r="B26" s="295">
        <v>11178</v>
      </c>
      <c r="C26" s="294">
        <f t="shared" si="7"/>
        <v>13525.38</v>
      </c>
      <c r="D26" s="294"/>
      <c r="E26" s="295">
        <v>12757</v>
      </c>
      <c r="F26" s="295">
        <f t="shared" si="8"/>
        <v>15435.97</v>
      </c>
      <c r="G26" s="293"/>
      <c r="H26" s="295">
        <v>16062</v>
      </c>
      <c r="I26" s="295">
        <f t="shared" si="9"/>
        <v>19435.02</v>
      </c>
      <c r="J26" s="293"/>
      <c r="K26" s="295">
        <v>22594</v>
      </c>
      <c r="L26" s="295">
        <f t="shared" si="10"/>
        <v>27338.739999999998</v>
      </c>
    </row>
    <row r="27" spans="1:12" x14ac:dyDescent="0.25">
      <c r="A27" s="289" t="s">
        <v>150</v>
      </c>
      <c r="B27" s="292">
        <v>6278</v>
      </c>
      <c r="C27" s="291">
        <f t="shared" si="7"/>
        <v>7596.38</v>
      </c>
      <c r="D27" s="291"/>
      <c r="E27" s="292">
        <v>7165</v>
      </c>
      <c r="F27" s="292">
        <f t="shared" si="8"/>
        <v>8669.65</v>
      </c>
      <c r="G27" s="289"/>
      <c r="H27" s="292">
        <v>9021</v>
      </c>
      <c r="I27" s="292">
        <f t="shared" si="9"/>
        <v>10915.41</v>
      </c>
      <c r="J27" s="289"/>
      <c r="K27" s="292">
        <v>12689</v>
      </c>
      <c r="L27" s="292">
        <f t="shared" si="10"/>
        <v>15353.689999999999</v>
      </c>
    </row>
    <row r="28" spans="1:12" x14ac:dyDescent="0.25">
      <c r="A28" s="289"/>
      <c r="B28" s="290">
        <f>SUM(B19:B27)</f>
        <v>149552</v>
      </c>
      <c r="C28" s="290">
        <f>SUM(C19:C27)</f>
        <v>180957.92</v>
      </c>
      <c r="D28" s="290"/>
      <c r="E28" s="290">
        <f>SUM(E19:E27)</f>
        <v>170676</v>
      </c>
      <c r="F28" s="290">
        <f>SUM(F19:F27)</f>
        <v>206517.96</v>
      </c>
      <c r="G28" s="290"/>
      <c r="H28" s="290">
        <f>SUM(H19:H27)</f>
        <v>214880</v>
      </c>
      <c r="I28" s="290">
        <f>SUM(I19:I27)</f>
        <v>260004.8</v>
      </c>
      <c r="J28" s="290"/>
      <c r="K28" s="290">
        <f>SUM(K19:K27)</f>
        <v>302276</v>
      </c>
      <c r="L28" s="290">
        <f>SUM(L19:L27)</f>
        <v>365753.96</v>
      </c>
    </row>
    <row r="31" spans="1:12" x14ac:dyDescent="0.25">
      <c r="A31" s="360" t="s">
        <v>171</v>
      </c>
      <c r="B31" s="361"/>
      <c r="C31" s="361"/>
      <c r="D31" s="361"/>
    </row>
    <row r="32" spans="1:12" ht="30" x14ac:dyDescent="0.25">
      <c r="A32" s="297"/>
      <c r="B32" s="298" t="s">
        <v>169</v>
      </c>
      <c r="C32" s="298" t="s">
        <v>168</v>
      </c>
      <c r="D32" s="297"/>
      <c r="K32" s="275"/>
    </row>
    <row r="33" spans="1:11" x14ac:dyDescent="0.25">
      <c r="A33" s="296" t="s">
        <v>167</v>
      </c>
      <c r="B33" s="357">
        <v>242</v>
      </c>
      <c r="C33" s="357"/>
      <c r="D33" s="296"/>
      <c r="K33" s="275"/>
    </row>
    <row r="34" spans="1:11" x14ac:dyDescent="0.25">
      <c r="A34" s="293" t="s">
        <v>136</v>
      </c>
      <c r="B34" s="295">
        <v>72026</v>
      </c>
      <c r="C34" s="294">
        <f t="shared" ref="C34:C42" si="11">B34*1.21</f>
        <v>87151.459999999992</v>
      </c>
      <c r="D34" s="293"/>
      <c r="K34" s="275"/>
    </row>
    <row r="35" spans="1:11" x14ac:dyDescent="0.25">
      <c r="A35" s="293" t="s">
        <v>137</v>
      </c>
      <c r="B35" s="295">
        <v>65579</v>
      </c>
      <c r="C35" s="294">
        <f t="shared" si="11"/>
        <v>79350.59</v>
      </c>
      <c r="D35" s="293"/>
      <c r="K35" s="275"/>
    </row>
    <row r="36" spans="1:11" x14ac:dyDescent="0.25">
      <c r="A36" s="293" t="s">
        <v>138</v>
      </c>
      <c r="B36" s="295">
        <v>83601</v>
      </c>
      <c r="C36" s="294">
        <f t="shared" si="11"/>
        <v>101157.20999999999</v>
      </c>
      <c r="D36" s="293"/>
      <c r="K36" s="275"/>
    </row>
    <row r="37" spans="1:11" x14ac:dyDescent="0.25">
      <c r="A37" s="293" t="s">
        <v>140</v>
      </c>
      <c r="B37" s="295">
        <v>42170</v>
      </c>
      <c r="C37" s="294">
        <f t="shared" si="11"/>
        <v>51025.7</v>
      </c>
      <c r="D37" s="293"/>
      <c r="K37" s="275"/>
    </row>
    <row r="38" spans="1:11" x14ac:dyDescent="0.25">
      <c r="A38" s="293" t="s">
        <v>142</v>
      </c>
      <c r="B38" s="295">
        <v>33501</v>
      </c>
      <c r="C38" s="294">
        <f t="shared" si="11"/>
        <v>40536.21</v>
      </c>
      <c r="D38" s="293"/>
      <c r="K38" s="275"/>
    </row>
    <row r="39" spans="1:11" x14ac:dyDescent="0.25">
      <c r="A39" s="293" t="s">
        <v>144</v>
      </c>
      <c r="B39" s="295">
        <v>39897</v>
      </c>
      <c r="C39" s="294">
        <f t="shared" si="11"/>
        <v>48275.369999999995</v>
      </c>
      <c r="D39" s="293"/>
      <c r="K39" s="275"/>
    </row>
    <row r="40" spans="1:11" x14ac:dyDescent="0.25">
      <c r="A40" s="293" t="s">
        <v>146</v>
      </c>
      <c r="B40" s="295">
        <v>62810</v>
      </c>
      <c r="C40" s="294">
        <f t="shared" si="11"/>
        <v>76000.099999999991</v>
      </c>
      <c r="D40" s="293"/>
      <c r="K40" s="275"/>
    </row>
    <row r="41" spans="1:11" x14ac:dyDescent="0.25">
      <c r="A41" s="293" t="s">
        <v>148</v>
      </c>
      <c r="B41" s="295">
        <v>33814</v>
      </c>
      <c r="C41" s="294">
        <f t="shared" si="11"/>
        <v>40914.94</v>
      </c>
      <c r="D41" s="293"/>
    </row>
    <row r="42" spans="1:11" x14ac:dyDescent="0.25">
      <c r="A42" s="289" t="s">
        <v>150</v>
      </c>
      <c r="B42" s="292">
        <v>18991</v>
      </c>
      <c r="C42" s="291">
        <f t="shared" si="11"/>
        <v>22979.11</v>
      </c>
      <c r="D42" s="289"/>
    </row>
    <row r="43" spans="1:11" x14ac:dyDescent="0.25">
      <c r="A43" s="289"/>
      <c r="B43" s="290">
        <f>SUM(B34:B42)</f>
        <v>452389</v>
      </c>
      <c r="C43" s="290">
        <f>SUM(C34:C42)</f>
        <v>547390.69000000006</v>
      </c>
      <c r="D43" s="289"/>
    </row>
    <row r="45" spans="1:11" x14ac:dyDescent="0.25">
      <c r="A45" s="362" t="s">
        <v>170</v>
      </c>
      <c r="B45" s="363"/>
      <c r="C45" s="363"/>
      <c r="D45" s="363"/>
    </row>
    <row r="46" spans="1:11" ht="30" x14ac:dyDescent="0.25">
      <c r="A46" s="297"/>
      <c r="B46" s="298" t="s">
        <v>169</v>
      </c>
      <c r="C46" s="298" t="s">
        <v>168</v>
      </c>
      <c r="D46" s="297"/>
    </row>
    <row r="47" spans="1:11" x14ac:dyDescent="0.25">
      <c r="A47" s="296" t="s">
        <v>167</v>
      </c>
      <c r="B47" s="357">
        <v>242</v>
      </c>
      <c r="C47" s="357"/>
      <c r="D47" s="296"/>
    </row>
    <row r="48" spans="1:11" x14ac:dyDescent="0.25">
      <c r="A48" s="293" t="s">
        <v>136</v>
      </c>
      <c r="B48" s="295">
        <v>72026</v>
      </c>
      <c r="C48" s="294">
        <f t="shared" ref="C48:C56" si="12">B48*1.21</f>
        <v>87151.459999999992</v>
      </c>
      <c r="D48" s="293"/>
    </row>
    <row r="49" spans="1:4" x14ac:dyDescent="0.25">
      <c r="A49" s="293" t="s">
        <v>137</v>
      </c>
      <c r="B49" s="295">
        <v>65579</v>
      </c>
      <c r="C49" s="294">
        <f t="shared" si="12"/>
        <v>79350.59</v>
      </c>
      <c r="D49" s="293"/>
    </row>
    <row r="50" spans="1:4" x14ac:dyDescent="0.25">
      <c r="A50" s="293" t="s">
        <v>138</v>
      </c>
      <c r="B50" s="295">
        <v>83601</v>
      </c>
      <c r="C50" s="294">
        <f t="shared" si="12"/>
        <v>101157.20999999999</v>
      </c>
      <c r="D50" s="293"/>
    </row>
    <row r="51" spans="1:4" x14ac:dyDescent="0.25">
      <c r="A51" s="293" t="s">
        <v>140</v>
      </c>
      <c r="B51" s="295">
        <v>42170</v>
      </c>
      <c r="C51" s="294">
        <f t="shared" si="12"/>
        <v>51025.7</v>
      </c>
      <c r="D51" s="293"/>
    </row>
    <row r="52" spans="1:4" x14ac:dyDescent="0.25">
      <c r="A52" s="293" t="s">
        <v>142</v>
      </c>
      <c r="B52" s="295">
        <v>33501</v>
      </c>
      <c r="C52" s="294">
        <f t="shared" si="12"/>
        <v>40536.21</v>
      </c>
      <c r="D52" s="293"/>
    </row>
    <row r="53" spans="1:4" x14ac:dyDescent="0.25">
      <c r="A53" s="293" t="s">
        <v>144</v>
      </c>
      <c r="B53" s="295">
        <v>39897</v>
      </c>
      <c r="C53" s="294">
        <f t="shared" si="12"/>
        <v>48275.369999999995</v>
      </c>
      <c r="D53" s="293"/>
    </row>
    <row r="54" spans="1:4" x14ac:dyDescent="0.25">
      <c r="A54" s="293" t="s">
        <v>146</v>
      </c>
      <c r="B54" s="295">
        <v>62810</v>
      </c>
      <c r="C54" s="294">
        <f t="shared" si="12"/>
        <v>76000.099999999991</v>
      </c>
      <c r="D54" s="293"/>
    </row>
    <row r="55" spans="1:4" x14ac:dyDescent="0.25">
      <c r="A55" s="293" t="s">
        <v>148</v>
      </c>
      <c r="B55" s="295">
        <v>33814</v>
      </c>
      <c r="C55" s="294">
        <f t="shared" si="12"/>
        <v>40914.94</v>
      </c>
      <c r="D55" s="293"/>
    </row>
    <row r="56" spans="1:4" x14ac:dyDescent="0.25">
      <c r="A56" s="289" t="s">
        <v>150</v>
      </c>
      <c r="B56" s="292">
        <v>18991</v>
      </c>
      <c r="C56" s="291">
        <f t="shared" si="12"/>
        <v>22979.11</v>
      </c>
      <c r="D56" s="289"/>
    </row>
    <row r="57" spans="1:4" x14ac:dyDescent="0.25">
      <c r="A57" s="289"/>
      <c r="B57" s="290">
        <f>SUM(B48:B56)</f>
        <v>452389</v>
      </c>
      <c r="C57" s="290">
        <f>SUM(C48:C56)</f>
        <v>547390.69000000006</v>
      </c>
      <c r="D57" s="289"/>
    </row>
  </sheetData>
  <mergeCells count="13">
    <mergeCell ref="A1:R1"/>
    <mergeCell ref="B3:C3"/>
    <mergeCell ref="E3:F3"/>
    <mergeCell ref="H3:I3"/>
    <mergeCell ref="K3:L3"/>
    <mergeCell ref="N3:O3"/>
    <mergeCell ref="Q3:R3"/>
    <mergeCell ref="B47:C47"/>
    <mergeCell ref="A16:L16"/>
    <mergeCell ref="K18:L18"/>
    <mergeCell ref="A31:D31"/>
    <mergeCell ref="B33:C33"/>
    <mergeCell ref="A45:D4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EFF-CB54-4BE1-B976-AF6A84CAD550}">
  <dimension ref="A1:E111"/>
  <sheetViews>
    <sheetView topLeftCell="A29" workbookViewId="0">
      <selection activeCell="B29" sqref="B29:B30"/>
    </sheetView>
  </sheetViews>
  <sheetFormatPr defaultRowHeight="15" x14ac:dyDescent="0.25"/>
  <cols>
    <col min="1" max="1" width="49.42578125" bestFit="1" customWidth="1"/>
    <col min="2" max="2" width="37.7109375" bestFit="1" customWidth="1"/>
    <col min="3" max="3" width="25" bestFit="1" customWidth="1"/>
    <col min="4" max="4" width="15" customWidth="1"/>
  </cols>
  <sheetData>
    <row r="1" spans="1:3" ht="18.75" x14ac:dyDescent="0.3">
      <c r="A1" s="217" t="s">
        <v>212</v>
      </c>
      <c r="B1" s="218"/>
      <c r="C1" s="218"/>
    </row>
    <row r="2" spans="1:3" x14ac:dyDescent="0.25">
      <c r="A2" s="219" t="s">
        <v>89</v>
      </c>
      <c r="B2" s="220"/>
      <c r="C2" s="220"/>
    </row>
    <row r="3" spans="1:3" ht="15.75" x14ac:dyDescent="0.25">
      <c r="A3" s="220"/>
      <c r="B3" s="221" t="s">
        <v>90</v>
      </c>
      <c r="C3" s="221" t="s">
        <v>91</v>
      </c>
    </row>
    <row r="4" spans="1:3" x14ac:dyDescent="0.25">
      <c r="A4" s="220"/>
      <c r="B4" s="220" t="s">
        <v>92</v>
      </c>
      <c r="C4" s="220" t="s">
        <v>93</v>
      </c>
    </row>
    <row r="5" spans="1:3" x14ac:dyDescent="0.25">
      <c r="A5" s="220"/>
      <c r="B5" s="220" t="s">
        <v>94</v>
      </c>
      <c r="C5" s="220" t="s">
        <v>95</v>
      </c>
    </row>
    <row r="6" spans="1:3" x14ac:dyDescent="0.25">
      <c r="A6" s="220"/>
      <c r="B6" s="222" t="s">
        <v>96</v>
      </c>
      <c r="C6" s="220" t="s">
        <v>97</v>
      </c>
    </row>
    <row r="7" spans="1:3" x14ac:dyDescent="0.25">
      <c r="A7" s="220"/>
      <c r="B7" s="220" t="s">
        <v>98</v>
      </c>
      <c r="C7" s="220"/>
    </row>
    <row r="8" spans="1:3" x14ac:dyDescent="0.25">
      <c r="A8" s="220"/>
      <c r="B8" s="220" t="s">
        <v>99</v>
      </c>
      <c r="C8" s="220"/>
    </row>
    <row r="9" spans="1:3" x14ac:dyDescent="0.25">
      <c r="A9" s="220"/>
      <c r="B9" s="220" t="s">
        <v>100</v>
      </c>
      <c r="C9" s="220"/>
    </row>
    <row r="10" spans="1:3" x14ac:dyDescent="0.25">
      <c r="A10" s="220"/>
      <c r="B10" s="220" t="s">
        <v>101</v>
      </c>
      <c r="C10" s="220"/>
    </row>
    <row r="11" spans="1:3" x14ac:dyDescent="0.25">
      <c r="A11" s="220"/>
      <c r="B11" s="220" t="s">
        <v>102</v>
      </c>
      <c r="C11" s="220"/>
    </row>
    <row r="12" spans="1:3" x14ac:dyDescent="0.25">
      <c r="A12" s="220"/>
      <c r="B12" s="220" t="s">
        <v>103</v>
      </c>
      <c r="C12" s="220"/>
    </row>
    <row r="13" spans="1:3" x14ac:dyDescent="0.25">
      <c r="A13" s="220"/>
      <c r="B13" s="220" t="s">
        <v>104</v>
      </c>
      <c r="C13" s="220"/>
    </row>
    <row r="14" spans="1:3" x14ac:dyDescent="0.25">
      <c r="A14" s="220"/>
      <c r="B14" s="220" t="s">
        <v>105</v>
      </c>
      <c r="C14" s="220"/>
    </row>
    <row r="15" spans="1:3" x14ac:dyDescent="0.25">
      <c r="A15" s="220"/>
      <c r="B15" s="220" t="s">
        <v>106</v>
      </c>
      <c r="C15" s="220"/>
    </row>
    <row r="16" spans="1:3" x14ac:dyDescent="0.25">
      <c r="A16" s="223"/>
      <c r="B16" s="223"/>
      <c r="C16" s="223"/>
    </row>
    <row r="17" spans="1:3" x14ac:dyDescent="0.25">
      <c r="A17" s="224" t="s">
        <v>107</v>
      </c>
      <c r="B17" s="225"/>
      <c r="C17" s="225"/>
    </row>
    <row r="18" spans="1:3" ht="15.75" x14ac:dyDescent="0.25">
      <c r="A18" s="224"/>
      <c r="B18" s="226" t="s">
        <v>90</v>
      </c>
      <c r="C18" s="226" t="s">
        <v>91</v>
      </c>
    </row>
    <row r="19" spans="1:3" x14ac:dyDescent="0.25">
      <c r="A19" s="225"/>
      <c r="B19" s="225" t="s">
        <v>108</v>
      </c>
      <c r="C19" s="225" t="s">
        <v>109</v>
      </c>
    </row>
    <row r="20" spans="1:3" x14ac:dyDescent="0.25">
      <c r="A20" s="225"/>
      <c r="B20" s="225" t="s">
        <v>110</v>
      </c>
      <c r="C20" s="227"/>
    </row>
    <row r="21" spans="1:3" x14ac:dyDescent="0.25">
      <c r="A21" s="225"/>
      <c r="B21" s="225" t="s">
        <v>111</v>
      </c>
      <c r="C21" s="225"/>
    </row>
    <row r="22" spans="1:3" x14ac:dyDescent="0.25">
      <c r="A22" s="225"/>
      <c r="B22" s="225" t="s">
        <v>100</v>
      </c>
      <c r="C22" s="225"/>
    </row>
    <row r="23" spans="1:3" x14ac:dyDescent="0.25">
      <c r="A23" s="225"/>
      <c r="B23" s="225" t="s">
        <v>112</v>
      </c>
      <c r="C23" s="225"/>
    </row>
    <row r="24" spans="1:3" x14ac:dyDescent="0.25">
      <c r="A24" s="225"/>
      <c r="B24" s="225" t="s">
        <v>113</v>
      </c>
      <c r="C24" s="225"/>
    </row>
    <row r="25" spans="1:3" x14ac:dyDescent="0.25">
      <c r="A25" s="225"/>
      <c r="B25" s="225" t="s">
        <v>114</v>
      </c>
      <c r="C25" s="225"/>
    </row>
    <row r="26" spans="1:3" x14ac:dyDescent="0.25">
      <c r="A26" s="225"/>
      <c r="B26" s="225" t="s">
        <v>115</v>
      </c>
      <c r="C26" s="225"/>
    </row>
    <row r="27" spans="1:3" x14ac:dyDescent="0.25">
      <c r="A27" s="225"/>
      <c r="B27" s="225" t="s">
        <v>116</v>
      </c>
      <c r="C27" s="225"/>
    </row>
    <row r="28" spans="1:3" x14ac:dyDescent="0.25">
      <c r="A28" s="223"/>
      <c r="B28" s="223"/>
      <c r="C28" s="223"/>
    </row>
    <row r="29" spans="1:3" ht="15.75" x14ac:dyDescent="0.25">
      <c r="A29" s="228" t="s">
        <v>117</v>
      </c>
      <c r="B29" s="229">
        <v>14000</v>
      </c>
      <c r="C29" s="228"/>
    </row>
    <row r="30" spans="1:3" ht="15.75" x14ac:dyDescent="0.25">
      <c r="A30" s="228" t="s">
        <v>118</v>
      </c>
      <c r="B30" s="230">
        <f>_xlfn.CEILING.MATH(B29*1.21,500)</f>
        <v>17000</v>
      </c>
      <c r="C30" s="231" t="s">
        <v>119</v>
      </c>
    </row>
    <row r="31" spans="1:3" ht="15.75" x14ac:dyDescent="0.25">
      <c r="A31" s="228"/>
      <c r="B31" s="230"/>
      <c r="C31" s="231"/>
    </row>
    <row r="32" spans="1:3" ht="18.75" x14ac:dyDescent="0.3">
      <c r="A32" s="217" t="s">
        <v>207</v>
      </c>
      <c r="B32" s="218"/>
      <c r="C32" s="218"/>
    </row>
    <row r="33" spans="1:3" x14ac:dyDescent="0.25">
      <c r="A33" s="219" t="s">
        <v>89</v>
      </c>
      <c r="B33" s="220"/>
      <c r="C33" s="220"/>
    </row>
    <row r="34" spans="1:3" ht="15.75" x14ac:dyDescent="0.25">
      <c r="A34" s="220"/>
      <c r="B34" s="221" t="s">
        <v>90</v>
      </c>
      <c r="C34" s="221" t="s">
        <v>91</v>
      </c>
    </row>
    <row r="35" spans="1:3" x14ac:dyDescent="0.25">
      <c r="A35" s="220"/>
      <c r="B35" s="220" t="s">
        <v>92</v>
      </c>
      <c r="C35" s="220" t="s">
        <v>93</v>
      </c>
    </row>
    <row r="36" spans="1:3" x14ac:dyDescent="0.25">
      <c r="A36" s="220"/>
      <c r="B36" s="220" t="s">
        <v>94</v>
      </c>
      <c r="C36" s="220" t="s">
        <v>95</v>
      </c>
    </row>
    <row r="37" spans="1:3" x14ac:dyDescent="0.25">
      <c r="A37" s="220"/>
      <c r="B37" s="222" t="s">
        <v>96</v>
      </c>
      <c r="C37" s="220" t="s">
        <v>97</v>
      </c>
    </row>
    <row r="38" spans="1:3" x14ac:dyDescent="0.25">
      <c r="A38" s="220"/>
      <c r="B38" s="220" t="s">
        <v>98</v>
      </c>
      <c r="C38" s="220"/>
    </row>
    <row r="39" spans="1:3" x14ac:dyDescent="0.25">
      <c r="A39" s="220"/>
      <c r="B39" s="220" t="s">
        <v>99</v>
      </c>
      <c r="C39" s="220"/>
    </row>
    <row r="40" spans="1:3" x14ac:dyDescent="0.25">
      <c r="A40" s="220"/>
      <c r="B40" s="220" t="s">
        <v>100</v>
      </c>
      <c r="C40" s="220"/>
    </row>
    <row r="41" spans="1:3" x14ac:dyDescent="0.25">
      <c r="A41" s="220"/>
      <c r="B41" s="220" t="s">
        <v>101</v>
      </c>
      <c r="C41" s="220"/>
    </row>
    <row r="42" spans="1:3" x14ac:dyDescent="0.25">
      <c r="A42" s="220"/>
      <c r="B42" s="220" t="s">
        <v>102</v>
      </c>
      <c r="C42" s="220"/>
    </row>
    <row r="43" spans="1:3" x14ac:dyDescent="0.25">
      <c r="A43" s="220"/>
      <c r="B43" s="220" t="s">
        <v>103</v>
      </c>
      <c r="C43" s="220"/>
    </row>
    <row r="44" spans="1:3" x14ac:dyDescent="0.25">
      <c r="A44" s="220"/>
      <c r="B44" s="220" t="s">
        <v>104</v>
      </c>
      <c r="C44" s="220"/>
    </row>
    <row r="45" spans="1:3" x14ac:dyDescent="0.25">
      <c r="A45" s="220"/>
      <c r="B45" s="220" t="s">
        <v>105</v>
      </c>
      <c r="C45" s="220"/>
    </row>
    <row r="46" spans="1:3" x14ac:dyDescent="0.25">
      <c r="A46" s="220"/>
      <c r="B46" s="220" t="s">
        <v>106</v>
      </c>
      <c r="C46" s="220"/>
    </row>
    <row r="47" spans="1:3" x14ac:dyDescent="0.25">
      <c r="A47" s="223"/>
      <c r="B47" s="223"/>
      <c r="C47" s="223"/>
    </row>
    <row r="48" spans="1:3" x14ac:dyDescent="0.25">
      <c r="A48" s="224" t="s">
        <v>107</v>
      </c>
      <c r="B48" s="225"/>
      <c r="C48" s="225"/>
    </row>
    <row r="49" spans="1:3" ht="15.75" x14ac:dyDescent="0.25">
      <c r="A49" s="224"/>
      <c r="B49" s="226" t="s">
        <v>90</v>
      </c>
      <c r="C49" s="226" t="s">
        <v>91</v>
      </c>
    </row>
    <row r="50" spans="1:3" x14ac:dyDescent="0.25">
      <c r="A50" s="225"/>
      <c r="B50" s="225" t="s">
        <v>108</v>
      </c>
      <c r="C50" s="225" t="s">
        <v>109</v>
      </c>
    </row>
    <row r="51" spans="1:3" x14ac:dyDescent="0.25">
      <c r="A51" s="225"/>
      <c r="B51" s="225" t="s">
        <v>110</v>
      </c>
      <c r="C51" s="227"/>
    </row>
    <row r="52" spans="1:3" x14ac:dyDescent="0.25">
      <c r="A52" s="225"/>
      <c r="B52" s="225" t="s">
        <v>111</v>
      </c>
      <c r="C52" s="225"/>
    </row>
    <row r="53" spans="1:3" x14ac:dyDescent="0.25">
      <c r="A53" s="225"/>
      <c r="B53" s="225" t="s">
        <v>100</v>
      </c>
      <c r="C53" s="225"/>
    </row>
    <row r="54" spans="1:3" x14ac:dyDescent="0.25">
      <c r="A54" s="225"/>
      <c r="B54" s="225" t="s">
        <v>112</v>
      </c>
      <c r="C54" s="225"/>
    </row>
    <row r="55" spans="1:3" x14ac:dyDescent="0.25">
      <c r="A55" s="225"/>
      <c r="B55" s="225" t="s">
        <v>113</v>
      </c>
      <c r="C55" s="225"/>
    </row>
    <row r="56" spans="1:3" x14ac:dyDescent="0.25">
      <c r="A56" s="225"/>
      <c r="B56" s="225" t="s">
        <v>114</v>
      </c>
      <c r="C56" s="225"/>
    </row>
    <row r="57" spans="1:3" x14ac:dyDescent="0.25">
      <c r="A57" s="225"/>
      <c r="B57" s="225" t="s">
        <v>115</v>
      </c>
      <c r="C57" s="225"/>
    </row>
    <row r="58" spans="1:3" x14ac:dyDescent="0.25">
      <c r="A58" s="225"/>
      <c r="B58" s="225" t="s">
        <v>116</v>
      </c>
      <c r="C58" s="225"/>
    </row>
    <row r="59" spans="1:3" x14ac:dyDescent="0.25">
      <c r="A59" s="223"/>
      <c r="B59" s="223"/>
      <c r="C59" s="223"/>
    </row>
    <row r="60" spans="1:3" ht="15.75" x14ac:dyDescent="0.25">
      <c r="A60" s="228" t="s">
        <v>117</v>
      </c>
      <c r="B60" s="229">
        <v>14000</v>
      </c>
      <c r="C60" s="228"/>
    </row>
    <row r="61" spans="1:3" ht="15.75" x14ac:dyDescent="0.25">
      <c r="A61" s="228" t="s">
        <v>118</v>
      </c>
      <c r="B61" s="230">
        <f>_xlfn.CEILING.MATH(B60*1.21,500)</f>
        <v>17000</v>
      </c>
      <c r="C61" s="231" t="s">
        <v>119</v>
      </c>
    </row>
    <row r="64" spans="1:3" ht="18.75" x14ac:dyDescent="0.3">
      <c r="A64" s="217" t="s">
        <v>213</v>
      </c>
      <c r="B64" s="218"/>
      <c r="C64" s="218"/>
    </row>
    <row r="65" spans="1:3" x14ac:dyDescent="0.25">
      <c r="A65" s="219" t="s">
        <v>89</v>
      </c>
      <c r="B65" s="220"/>
      <c r="C65" s="220"/>
    </row>
    <row r="66" spans="1:3" ht="15.75" x14ac:dyDescent="0.25">
      <c r="A66" s="220"/>
      <c r="B66" s="221" t="s">
        <v>90</v>
      </c>
      <c r="C66" s="221" t="s">
        <v>91</v>
      </c>
    </row>
    <row r="67" spans="1:3" x14ac:dyDescent="0.25">
      <c r="A67" s="220"/>
      <c r="B67" s="220" t="s">
        <v>92</v>
      </c>
      <c r="C67" s="220" t="s">
        <v>93</v>
      </c>
    </row>
    <row r="68" spans="1:3" x14ac:dyDescent="0.25">
      <c r="A68" s="220"/>
      <c r="B68" s="220" t="s">
        <v>94</v>
      </c>
      <c r="C68" s="220" t="s">
        <v>95</v>
      </c>
    </row>
    <row r="69" spans="1:3" x14ac:dyDescent="0.25">
      <c r="A69" s="220"/>
      <c r="B69" s="222" t="s">
        <v>96</v>
      </c>
      <c r="C69" s="220" t="s">
        <v>120</v>
      </c>
    </row>
    <row r="70" spans="1:3" x14ac:dyDescent="0.25">
      <c r="A70" s="220"/>
      <c r="B70" s="220" t="s">
        <v>98</v>
      </c>
      <c r="C70" s="220"/>
    </row>
    <row r="71" spans="1:3" x14ac:dyDescent="0.25">
      <c r="A71" s="220"/>
      <c r="B71" s="220" t="s">
        <v>99</v>
      </c>
      <c r="C71" s="220"/>
    </row>
    <row r="72" spans="1:3" x14ac:dyDescent="0.25">
      <c r="A72" s="220"/>
      <c r="B72" s="220" t="s">
        <v>100</v>
      </c>
      <c r="C72" s="220"/>
    </row>
    <row r="73" spans="1:3" x14ac:dyDescent="0.25">
      <c r="A73" s="220"/>
      <c r="B73" s="220" t="s">
        <v>101</v>
      </c>
      <c r="C73" s="220"/>
    </row>
    <row r="74" spans="1:3" x14ac:dyDescent="0.25">
      <c r="A74" s="220"/>
      <c r="B74" s="220" t="s">
        <v>102</v>
      </c>
      <c r="C74" s="220"/>
    </row>
    <row r="75" spans="1:3" x14ac:dyDescent="0.25">
      <c r="A75" s="220"/>
      <c r="B75" s="220" t="s">
        <v>103</v>
      </c>
      <c r="C75" s="220"/>
    </row>
    <row r="76" spans="1:3" x14ac:dyDescent="0.25">
      <c r="A76" s="220"/>
      <c r="B76" s="220" t="s">
        <v>104</v>
      </c>
      <c r="C76" s="220"/>
    </row>
    <row r="77" spans="1:3" x14ac:dyDescent="0.25">
      <c r="A77" s="220"/>
      <c r="B77" s="220" t="s">
        <v>105</v>
      </c>
      <c r="C77" s="220"/>
    </row>
    <row r="78" spans="1:3" x14ac:dyDescent="0.25">
      <c r="A78" s="220"/>
      <c r="B78" s="220" t="s">
        <v>106</v>
      </c>
      <c r="C78" s="220"/>
    </row>
    <row r="79" spans="1:3" x14ac:dyDescent="0.25">
      <c r="A79" s="223"/>
      <c r="B79" s="223"/>
      <c r="C79" s="223"/>
    </row>
    <row r="80" spans="1:3" x14ac:dyDescent="0.25">
      <c r="A80" s="224" t="s">
        <v>107</v>
      </c>
      <c r="B80" s="225"/>
      <c r="C80" s="225"/>
    </row>
    <row r="81" spans="1:3" ht="15.75" x14ac:dyDescent="0.25">
      <c r="A81" s="224"/>
      <c r="B81" s="226" t="s">
        <v>90</v>
      </c>
      <c r="C81" s="226" t="s">
        <v>91</v>
      </c>
    </row>
    <row r="82" spans="1:3" x14ac:dyDescent="0.25">
      <c r="A82" s="225"/>
      <c r="B82" s="225" t="s">
        <v>108</v>
      </c>
      <c r="C82" s="225" t="s">
        <v>109</v>
      </c>
    </row>
    <row r="83" spans="1:3" x14ac:dyDescent="0.25">
      <c r="A83" s="225"/>
      <c r="B83" s="225" t="s">
        <v>110</v>
      </c>
      <c r="C83" s="227"/>
    </row>
    <row r="84" spans="1:3" x14ac:dyDescent="0.25">
      <c r="A84" s="225"/>
      <c r="B84" s="225" t="s">
        <v>111</v>
      </c>
      <c r="C84" s="225"/>
    </row>
    <row r="85" spans="1:3" x14ac:dyDescent="0.25">
      <c r="A85" s="225"/>
      <c r="B85" s="225" t="s">
        <v>100</v>
      </c>
      <c r="C85" s="225"/>
    </row>
    <row r="86" spans="1:3" x14ac:dyDescent="0.25">
      <c r="A86" s="225"/>
      <c r="B86" s="225" t="s">
        <v>112</v>
      </c>
      <c r="C86" s="225"/>
    </row>
    <row r="87" spans="1:3" x14ac:dyDescent="0.25">
      <c r="A87" s="225"/>
      <c r="B87" s="225" t="s">
        <v>113</v>
      </c>
      <c r="C87" s="225"/>
    </row>
    <row r="88" spans="1:3" x14ac:dyDescent="0.25">
      <c r="A88" s="225"/>
      <c r="B88" s="225" t="s">
        <v>87</v>
      </c>
      <c r="C88" s="225"/>
    </row>
    <row r="89" spans="1:3" x14ac:dyDescent="0.25">
      <c r="A89" s="225"/>
      <c r="B89" s="225" t="s">
        <v>115</v>
      </c>
      <c r="C89" s="225"/>
    </row>
    <row r="90" spans="1:3" x14ac:dyDescent="0.25">
      <c r="A90" s="225"/>
      <c r="B90" s="225" t="s">
        <v>116</v>
      </c>
      <c r="C90" s="225"/>
    </row>
    <row r="91" spans="1:3" x14ac:dyDescent="0.25">
      <c r="A91" s="223"/>
      <c r="B91" s="223"/>
      <c r="C91" s="223"/>
    </row>
    <row r="92" spans="1:3" ht="15.75" x14ac:dyDescent="0.25">
      <c r="A92" s="228" t="s">
        <v>117</v>
      </c>
      <c r="B92" s="229">
        <v>14000</v>
      </c>
      <c r="C92" s="228"/>
    </row>
    <row r="93" spans="1:3" ht="15.75" x14ac:dyDescent="0.25">
      <c r="A93" s="228" t="s">
        <v>118</v>
      </c>
      <c r="B93" s="230">
        <f>_xlfn.CEILING.MATH(B92*1.21,500)</f>
        <v>17000</v>
      </c>
      <c r="C93" s="231" t="s">
        <v>119</v>
      </c>
    </row>
    <row r="96" spans="1:3" ht="15.75" thickBot="1" x14ac:dyDescent="0.3"/>
    <row r="97" spans="1:5" ht="18" x14ac:dyDescent="0.25">
      <c r="A97" s="232" t="s">
        <v>121</v>
      </c>
      <c r="B97" s="233"/>
      <c r="C97" s="234"/>
    </row>
    <row r="98" spans="1:5" x14ac:dyDescent="0.25">
      <c r="A98" s="235" t="s">
        <v>208</v>
      </c>
      <c r="B98" s="236"/>
      <c r="C98" s="237">
        <f>B61</f>
        <v>17000</v>
      </c>
    </row>
    <row r="99" spans="1:5" x14ac:dyDescent="0.25">
      <c r="A99" s="235" t="s">
        <v>242</v>
      </c>
      <c r="B99" s="236"/>
      <c r="C99" s="237">
        <f>B30</f>
        <v>17000</v>
      </c>
    </row>
    <row r="100" spans="1:5" x14ac:dyDescent="0.25">
      <c r="A100" s="235" t="s">
        <v>214</v>
      </c>
      <c r="B100" s="236"/>
      <c r="C100" s="237">
        <f>B93</f>
        <v>17000</v>
      </c>
    </row>
    <row r="101" spans="1:5" ht="15.75" thickBot="1" x14ac:dyDescent="0.3">
      <c r="A101" s="235" t="s">
        <v>215</v>
      </c>
      <c r="B101" s="236"/>
      <c r="C101" s="237">
        <f>B93</f>
        <v>17000</v>
      </c>
    </row>
    <row r="102" spans="1:5" ht="15.75" thickBot="1" x14ac:dyDescent="0.3">
      <c r="A102" s="238" t="s">
        <v>65</v>
      </c>
      <c r="B102" s="239"/>
      <c r="C102" s="240">
        <f>SUM(C98:C101)</f>
        <v>68000</v>
      </c>
    </row>
    <row r="105" spans="1:5" ht="18.75" x14ac:dyDescent="0.3">
      <c r="A105" s="217" t="s">
        <v>46</v>
      </c>
      <c r="B105" s="218"/>
      <c r="C105" s="218"/>
      <c r="D105" s="218"/>
    </row>
    <row r="106" spans="1:5" x14ac:dyDescent="0.25">
      <c r="A106" s="241" t="s">
        <v>122</v>
      </c>
      <c r="B106" s="242" t="s">
        <v>123</v>
      </c>
      <c r="C106" s="242" t="s">
        <v>124</v>
      </c>
      <c r="D106" s="242" t="s">
        <v>124</v>
      </c>
    </row>
    <row r="107" spans="1:5" x14ac:dyDescent="0.25">
      <c r="A107" s="225" t="s">
        <v>125</v>
      </c>
      <c r="B107" s="243">
        <f>'Kapitaalslast buitenruimte'!M66</f>
        <v>2370</v>
      </c>
      <c r="C107" s="244">
        <v>1.2</v>
      </c>
      <c r="D107" s="245">
        <f>C107*B107</f>
        <v>2844</v>
      </c>
    </row>
    <row r="108" spans="1:5" x14ac:dyDescent="0.25">
      <c r="A108" s="225" t="s">
        <v>55</v>
      </c>
      <c r="B108" s="246">
        <f>'Kapitaalslast buitenruimte'!M61</f>
        <v>2410</v>
      </c>
      <c r="C108" s="244">
        <v>0.5</v>
      </c>
      <c r="D108" s="245">
        <f>C108*B108</f>
        <v>1205</v>
      </c>
    </row>
    <row r="109" spans="1:5" x14ac:dyDescent="0.25">
      <c r="A109" s="225" t="s">
        <v>54</v>
      </c>
      <c r="B109" s="246">
        <f>'Kapitaalslast buitenruimte'!M64+'Kapitaalslast buitenruimte'!M65</f>
        <v>771</v>
      </c>
      <c r="C109" s="244">
        <v>1</v>
      </c>
      <c r="D109" s="245">
        <f>C109*B109</f>
        <v>771</v>
      </c>
    </row>
    <row r="110" spans="1:5" ht="15.75" x14ac:dyDescent="0.25">
      <c r="B110" s="223"/>
      <c r="C110" s="247" t="s">
        <v>126</v>
      </c>
      <c r="D110" s="230">
        <f>SUM(D107:D109)</f>
        <v>4820</v>
      </c>
    </row>
    <row r="111" spans="1:5" ht="15.75" x14ac:dyDescent="0.25">
      <c r="B111" s="223"/>
      <c r="C111" s="247" t="s">
        <v>127</v>
      </c>
      <c r="D111" s="230">
        <f>_xlfn.CEILING.MATH(D110*1.21,500)</f>
        <v>6000</v>
      </c>
      <c r="E111" s="231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9345-301F-4068-B296-B50CDF8FADBC}">
  <dimension ref="A1:C19"/>
  <sheetViews>
    <sheetView workbookViewId="0">
      <selection activeCell="C19" sqref="C19"/>
    </sheetView>
  </sheetViews>
  <sheetFormatPr defaultRowHeight="15" x14ac:dyDescent="0.25"/>
  <cols>
    <col min="1" max="1" width="53.28515625" bestFit="1" customWidth="1"/>
    <col min="2" max="2" width="22.5703125" bestFit="1" customWidth="1"/>
    <col min="3" max="3" width="21.42578125" bestFit="1" customWidth="1"/>
  </cols>
  <sheetData>
    <row r="1" spans="1:3" ht="18.75" x14ac:dyDescent="0.3">
      <c r="A1" s="217" t="s">
        <v>153</v>
      </c>
      <c r="B1" s="218"/>
      <c r="C1" s="218"/>
    </row>
    <row r="2" spans="1:3" x14ac:dyDescent="0.25">
      <c r="A2" s="219" t="s">
        <v>89</v>
      </c>
      <c r="B2" s="220"/>
      <c r="C2" s="220"/>
    </row>
    <row r="3" spans="1:3" ht="15.75" x14ac:dyDescent="0.25">
      <c r="A3" s="220"/>
      <c r="B3" s="221" t="s">
        <v>90</v>
      </c>
      <c r="C3" s="221" t="s">
        <v>91</v>
      </c>
    </row>
    <row r="4" spans="1:3" x14ac:dyDescent="0.25">
      <c r="A4" s="220"/>
      <c r="B4" s="220" t="s">
        <v>154</v>
      </c>
      <c r="C4" s="220" t="s">
        <v>155</v>
      </c>
    </row>
    <row r="5" spans="1:3" x14ac:dyDescent="0.25">
      <c r="A5" s="223"/>
      <c r="B5" s="223"/>
      <c r="C5" s="223"/>
    </row>
    <row r="6" spans="1:3" x14ac:dyDescent="0.25">
      <c r="A6" s="224" t="s">
        <v>107</v>
      </c>
      <c r="B6" s="225"/>
      <c r="C6" s="225"/>
    </row>
    <row r="7" spans="1:3" ht="15.75" x14ac:dyDescent="0.25">
      <c r="A7" s="224"/>
      <c r="B7" s="226" t="s">
        <v>90</v>
      </c>
      <c r="C7" s="226" t="s">
        <v>91</v>
      </c>
    </row>
    <row r="8" spans="1:3" x14ac:dyDescent="0.25">
      <c r="A8" s="225"/>
      <c r="B8" s="225" t="s">
        <v>156</v>
      </c>
      <c r="C8" s="225"/>
    </row>
    <row r="9" spans="1:3" x14ac:dyDescent="0.25">
      <c r="A9" s="225"/>
      <c r="B9" s="225" t="s">
        <v>157</v>
      </c>
      <c r="C9" s="225"/>
    </row>
    <row r="10" spans="1:3" x14ac:dyDescent="0.25">
      <c r="A10" s="223"/>
      <c r="B10" s="223"/>
      <c r="C10" s="223"/>
    </row>
    <row r="11" spans="1:3" ht="15.75" x14ac:dyDescent="0.25">
      <c r="A11" s="228" t="s">
        <v>117</v>
      </c>
      <c r="B11" s="230">
        <v>30</v>
      </c>
      <c r="C11" s="228" t="s">
        <v>158</v>
      </c>
    </row>
    <row r="12" spans="1:3" ht="15.75" x14ac:dyDescent="0.25">
      <c r="A12" s="228" t="s">
        <v>159</v>
      </c>
      <c r="B12" s="230">
        <f>_xlfn.CEILING.MATH(B11*1.21,1)</f>
        <v>37</v>
      </c>
      <c r="C12" s="231" t="s">
        <v>160</v>
      </c>
    </row>
    <row r="13" spans="1:3" ht="15.75" x14ac:dyDescent="0.25">
      <c r="A13" s="228"/>
      <c r="B13" s="230"/>
      <c r="C13" s="231"/>
    </row>
    <row r="14" spans="1:3" ht="15.75" thickBot="1" x14ac:dyDescent="0.3"/>
    <row r="15" spans="1:3" ht="18" x14ac:dyDescent="0.25">
      <c r="A15" s="280" t="s">
        <v>161</v>
      </c>
      <c r="B15" s="281"/>
      <c r="C15" s="282"/>
    </row>
    <row r="16" spans="1:3" x14ac:dyDescent="0.25">
      <c r="A16" s="283" t="s">
        <v>162</v>
      </c>
      <c r="C16" s="284">
        <f>'[1]Onderhoud gebouw'!B12</f>
        <v>37</v>
      </c>
    </row>
    <row r="17" spans="1:3" x14ac:dyDescent="0.25">
      <c r="A17" s="283"/>
      <c r="C17" s="285"/>
    </row>
    <row r="18" spans="1:3" ht="15.75" thickBot="1" x14ac:dyDescent="0.3">
      <c r="A18" s="283" t="s">
        <v>163</v>
      </c>
      <c r="C18" s="285">
        <v>282</v>
      </c>
    </row>
    <row r="19" spans="1:3" ht="15.75" thickBot="1" x14ac:dyDescent="0.3">
      <c r="A19" s="286" t="s">
        <v>164</v>
      </c>
      <c r="B19" s="287"/>
      <c r="C19" s="288">
        <f>_xlfn.CEILING.MATH(C18*C16,1)</f>
        <v>10434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FB64-B8E9-4068-B0CB-E77782EA331B}">
  <dimension ref="A1:C9"/>
  <sheetViews>
    <sheetView workbookViewId="0">
      <selection activeCell="G21" sqref="G21"/>
    </sheetView>
  </sheetViews>
  <sheetFormatPr defaultRowHeight="15" x14ac:dyDescent="0.25"/>
  <cols>
    <col min="1" max="1" width="28.28515625" bestFit="1" customWidth="1"/>
    <col min="2" max="2" width="20.85546875" bestFit="1" customWidth="1"/>
    <col min="3" max="3" width="15.28515625" customWidth="1"/>
  </cols>
  <sheetData>
    <row r="1" spans="1:3" x14ac:dyDescent="0.25">
      <c r="A1" s="210" t="s">
        <v>88</v>
      </c>
      <c r="B1" s="211"/>
      <c r="C1" s="173" t="s">
        <v>85</v>
      </c>
    </row>
    <row r="2" spans="1:3" x14ac:dyDescent="0.25">
      <c r="A2" s="212" t="s">
        <v>86</v>
      </c>
      <c r="B2" t="s">
        <v>87</v>
      </c>
      <c r="C2" s="213">
        <v>35574</v>
      </c>
    </row>
    <row r="3" spans="1:3" x14ac:dyDescent="0.25">
      <c r="A3" s="212" t="s">
        <v>86</v>
      </c>
      <c r="B3" t="s">
        <v>87</v>
      </c>
      <c r="C3" s="213">
        <v>35574</v>
      </c>
    </row>
    <row r="4" spans="1:3" x14ac:dyDescent="0.25">
      <c r="A4" s="212" t="s">
        <v>210</v>
      </c>
      <c r="B4" t="s">
        <v>87</v>
      </c>
      <c r="C4" s="213"/>
    </row>
    <row r="5" spans="1:3" x14ac:dyDescent="0.25">
      <c r="A5" s="212" t="s">
        <v>210</v>
      </c>
      <c r="B5" t="s">
        <v>87</v>
      </c>
      <c r="C5" s="213">
        <v>35574</v>
      </c>
    </row>
    <row r="6" spans="1:3" ht="15.75" thickBot="1" x14ac:dyDescent="0.3">
      <c r="A6" s="214"/>
      <c r="B6" s="215" t="s">
        <v>84</v>
      </c>
      <c r="C6" s="216">
        <f>SUM(C2:C5)</f>
        <v>106722</v>
      </c>
    </row>
    <row r="7" spans="1:3" ht="15.75" thickBot="1" x14ac:dyDescent="0.3"/>
    <row r="8" spans="1:3" x14ac:dyDescent="0.25">
      <c r="A8" s="322" t="s">
        <v>231</v>
      </c>
      <c r="B8" s="323"/>
      <c r="C8" s="324">
        <f>(C6/100)*5</f>
        <v>5336.1</v>
      </c>
    </row>
    <row r="9" spans="1:3" ht="15.75" thickBot="1" x14ac:dyDescent="0.3">
      <c r="A9" s="214" t="s">
        <v>85</v>
      </c>
      <c r="B9" s="325"/>
      <c r="C9" s="216">
        <f>C6+C8</f>
        <v>112058.1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9437D57A7F5A45B1916134F36C66E7" ma:contentTypeVersion="6" ma:contentTypeDescription="Create a new document." ma:contentTypeScope="" ma:versionID="8129e5da4b3089503b87800cf71fb8f4">
  <xsd:schema xmlns:xsd="http://www.w3.org/2001/XMLSchema" xmlns:xs="http://www.w3.org/2001/XMLSchema" xmlns:p="http://schemas.microsoft.com/office/2006/metadata/properties" xmlns:ns3="3c19affe-29a6-4125-b18c-5af009d39d81" targetNamespace="http://schemas.microsoft.com/office/2006/metadata/properties" ma:root="true" ma:fieldsID="dd0732853ef0049f365a3400565aedbd" ns3:_="">
    <xsd:import namespace="3c19affe-29a6-4125-b18c-5af009d39d8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9affe-29a6-4125-b18c-5af009d39d8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19affe-29a6-4125-b18c-5af009d39d81" xsi:nil="true"/>
  </documentManagement>
</p:properties>
</file>

<file path=customXml/itemProps1.xml><?xml version="1.0" encoding="utf-8"?>
<ds:datastoreItem xmlns:ds="http://schemas.openxmlformats.org/officeDocument/2006/customXml" ds:itemID="{0544F35E-E5C3-4C64-B932-7C6912D49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9affe-29a6-4125-b18c-5af009d39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C88670-001B-497C-81BB-9751C1486F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D57E15-0BD5-4685-96D4-84A6F6734C1E}">
  <ds:schemaRefs>
    <ds:schemaRef ds:uri="http://purl.org/dc/elements/1.1/"/>
    <ds:schemaRef ds:uri="3c19affe-29a6-4125-b18c-5af009d39d81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</vt:i4>
      </vt:variant>
    </vt:vector>
  </HeadingPairs>
  <TitlesOfParts>
    <vt:vector size="8" baseType="lpstr">
      <vt:lpstr>WVV Constantia</vt:lpstr>
      <vt:lpstr>Kapitaalslast buitenruimte</vt:lpstr>
      <vt:lpstr>Kapitaalslast gebouw</vt:lpstr>
      <vt:lpstr>Kapitaalslast per kleedkamer</vt:lpstr>
      <vt:lpstr>Onderhoudslast buitenruimte</vt:lpstr>
      <vt:lpstr>Onderhoudslast gebouw</vt:lpstr>
      <vt:lpstr>Directe kosten</vt:lpstr>
      <vt:lpstr>'Kapitaalslast buitenruimte'!Afdrukbereik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 Verdonschot</dc:creator>
  <cp:lastModifiedBy>Sanne Hendriks</cp:lastModifiedBy>
  <cp:lastPrinted>2024-07-12T06:02:02Z</cp:lastPrinted>
  <dcterms:created xsi:type="dcterms:W3CDTF">2023-08-08T06:07:54Z</dcterms:created>
  <dcterms:modified xsi:type="dcterms:W3CDTF">2026-05-08T08:55:10Z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0x010100F99437D57A7F5A45B1916134F36C66E7</vt:lpwstr>
  </property>
</Properties>
</file>